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0178FF10-E02B-4EAC-B098-9C47C45AA907}" xr6:coauthVersionLast="47" xr6:coauthVersionMax="47" xr10:uidLastSave="{00000000-0000-0000-0000-000000000000}"/>
  <bookViews>
    <workbookView xWindow="-110" yWindow="-110" windowWidth="25820" windowHeight="15500" firstSheet="1" activeTab="3" xr2:uid="{00000000-000D-0000-FFFF-FFFF00000000}"/>
  </bookViews>
  <sheets>
    <sheet name="__FDSCACHE__" sheetId="2" state="veryHidden" r:id="rId1"/>
    <sheet name="Assumption" sheetId="8" r:id="rId2"/>
    <sheet name="Technical Strength" sheetId="58" r:id="rId3"/>
    <sheet name="OUTPUT_COUNTRY" sheetId="40" r:id="rId4"/>
    <sheet name="PORTFOLIO" sheetId="55" r:id="rId5"/>
    <sheet name="OUTPUT_PPT" sheetId="49" r:id="rId6"/>
    <sheet name="mnemonics" sheetId="20" r:id="rId7"/>
    <sheet name="Value -2 " sheetId="1" r:id="rId8"/>
    <sheet name="LIQIDITY 2" sheetId="28" r:id="rId9"/>
    <sheet name="Quality - 2" sheetId="39" r:id="rId10"/>
    <sheet name="Momnetum ranking" sheetId="12" r:id="rId11"/>
    <sheet name="Safety" sheetId="13" r:id="rId12"/>
    <sheet name="Timing" sheetId="56" r:id="rId13"/>
    <sheet name="Leading Indicator" sheetId="52" r:id="rId14"/>
    <sheet name="t -PE" sheetId="46" r:id="rId15"/>
    <sheet name="Forwa Pe" sheetId="47" r:id="rId16"/>
    <sheet name="DY " sheetId="7" r:id="rId17"/>
    <sheet name="Monthly Returns" sheetId="5" r:id="rId18"/>
    <sheet name="Yearly returns" sheetId="15" r:id="rId19"/>
    <sheet name="Index earnings" sheetId="18" r:id="rId20"/>
    <sheet name="GDP_GROWTH" sheetId="45" r:id="rId21"/>
    <sheet name="Currency- 2" sheetId="42" r:id="rId22"/>
    <sheet name="Chart1" sheetId="36" state="hidden" r:id="rId23"/>
    <sheet name="CAD" sheetId="43" r:id="rId24"/>
    <sheet name="Country Int rates " sheetId="9" r:id="rId25"/>
    <sheet name="Index ROE" sheetId="38" r:id="rId26"/>
    <sheet name="Economic Momentum" sheetId="48" r:id="rId27"/>
    <sheet name="Market Capitalisation" sheetId="57" r:id="rId28"/>
  </sheets>
  <definedNames>
    <definedName name="_xlnm._FilterDatabase" localSheetId="10" hidden="1">'Momnetum ranking'!$A$2:$AK$30</definedName>
    <definedName name="_xlnm._FilterDatabase" localSheetId="3" hidden="1">OUTPUT_COUNTRY!$B$6:$N$6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0" i="1" l="1" a="1"/>
  <c r="O10" i="1" l="1"/>
  <c r="O5" i="1" a="1"/>
  <c r="O5" i="1" l="1"/>
  <c r="O21" i="1" a="1"/>
  <c r="O21" i="1" l="1"/>
  <c r="O18" i="1" a="1"/>
  <c r="D31" i="1" a="1"/>
  <c r="O18" i="1" l="1"/>
  <c r="D31" i="1"/>
  <c r="O11" i="1" a="1"/>
  <c r="O11" i="1" l="1"/>
  <c r="O9" i="1" a="1"/>
  <c r="O9" i="1" l="1"/>
  <c r="O8" i="1" a="1"/>
  <c r="O8" i="1" l="1"/>
  <c r="O7" i="1" a="1"/>
  <c r="O7" i="1" l="1"/>
  <c r="O6" i="1" a="1"/>
  <c r="O6" i="1" l="1"/>
  <c r="O4" i="1" a="1"/>
  <c r="O4" i="1" l="1"/>
  <c r="O3" i="1" a="1"/>
  <c r="O3" i="1" l="1"/>
  <c r="O14" i="1" a="1"/>
  <c r="O14" i="1" l="1"/>
  <c r="O13" i="1" a="1"/>
  <c r="O13" i="1" l="1"/>
  <c r="O20" i="1" a="1"/>
  <c r="O20" i="1" l="1"/>
  <c r="O19" i="1" a="1"/>
  <c r="O19" i="1" l="1"/>
  <c r="O17" i="1" a="1"/>
  <c r="O17" i="1" l="1"/>
  <c r="O16" i="1" a="1"/>
  <c r="O16" i="1" l="1"/>
  <c r="O23" i="1" a="1"/>
  <c r="G33" i="57" a="1"/>
  <c r="G16" i="57" a="1"/>
  <c r="D33" i="57" a="1"/>
  <c r="D16" i="57" a="1"/>
  <c r="G31" i="57" a="1"/>
  <c r="G15" i="57" a="1"/>
  <c r="D31" i="57" a="1"/>
  <c r="D15" i="57" a="1"/>
  <c r="G30" i="57" a="1"/>
  <c r="G14" i="57" a="1"/>
  <c r="D30" i="57" a="1"/>
  <c r="D14" i="57" a="1"/>
  <c r="G29" i="57" a="1"/>
  <c r="G13" i="57" a="1"/>
  <c r="D29" i="57" a="1"/>
  <c r="D13" i="57" a="1"/>
  <c r="G28" i="57" a="1"/>
  <c r="G12" i="57" a="1"/>
  <c r="D28" i="57" a="1"/>
  <c r="D12" i="57" a="1"/>
  <c r="G27" i="57" a="1"/>
  <c r="G11" i="57" a="1"/>
  <c r="D27" i="57" a="1"/>
  <c r="D11" i="57" a="1"/>
  <c r="G26" i="57" a="1"/>
  <c r="G10" i="57" a="1"/>
  <c r="D26" i="57" a="1"/>
  <c r="D10" i="57" a="1"/>
  <c r="G25" i="57" a="1"/>
  <c r="G9" i="57" a="1"/>
  <c r="D25" i="57" a="1"/>
  <c r="D9" i="57" a="1"/>
  <c r="G24" i="57" a="1"/>
  <c r="G8" i="57" a="1"/>
  <c r="D24" i="57" a="1"/>
  <c r="D8" i="57" a="1"/>
  <c r="G23" i="57" a="1"/>
  <c r="G7" i="57" a="1"/>
  <c r="D23" i="57" a="1"/>
  <c r="D7" i="57" a="1"/>
  <c r="G22" i="57" a="1"/>
  <c r="G6" i="57" a="1"/>
  <c r="D22" i="57" a="1"/>
  <c r="D6" i="57" a="1"/>
  <c r="G21" i="57" a="1"/>
  <c r="G5" i="57" a="1"/>
  <c r="D21" i="57" a="1"/>
  <c r="D5" i="57" a="1"/>
  <c r="G20" i="57" a="1"/>
  <c r="G19" i="57" a="1"/>
  <c r="G17" i="57" a="1"/>
  <c r="G4" i="57" a="1"/>
  <c r="G3" i="57" a="1"/>
  <c r="G2" i="57" a="1"/>
  <c r="E33" i="57" a="1"/>
  <c r="D19" i="57" a="1"/>
  <c r="D18" i="57" a="1"/>
  <c r="D17" i="57" a="1"/>
  <c r="D2" i="57" a="1"/>
  <c r="G18" i="57" a="1"/>
  <c r="D20" i="57" a="1"/>
  <c r="D4" i="57" a="1"/>
  <c r="D3" i="57" a="1"/>
  <c r="B33" i="57" a="1"/>
  <c r="O23" i="1" l="1"/>
  <c r="B33" i="57"/>
  <c r="D3" i="57"/>
  <c r="D4" i="57"/>
  <c r="D20" i="57"/>
  <c r="G18" i="57"/>
  <c r="D2" i="57"/>
  <c r="D17" i="57"/>
  <c r="D18" i="57"/>
  <c r="D19" i="57"/>
  <c r="E33" i="57"/>
  <c r="G2" i="57"/>
  <c r="G3" i="57"/>
  <c r="G4" i="57"/>
  <c r="G17" i="57"/>
  <c r="G19" i="57"/>
  <c r="G20" i="57"/>
  <c r="D5" i="57"/>
  <c r="D21" i="57"/>
  <c r="G5" i="57"/>
  <c r="G21" i="57"/>
  <c r="D6" i="57"/>
  <c r="D22" i="57"/>
  <c r="G6" i="57"/>
  <c r="G22" i="57"/>
  <c r="D7" i="57"/>
  <c r="D23" i="57"/>
  <c r="G7" i="57"/>
  <c r="G23" i="57"/>
  <c r="D8" i="57"/>
  <c r="D24" i="57"/>
  <c r="G8" i="57"/>
  <c r="G24" i="57"/>
  <c r="D9" i="57"/>
  <c r="D25" i="57"/>
  <c r="G9" i="57"/>
  <c r="G25" i="57"/>
  <c r="D10" i="57"/>
  <c r="D26" i="57"/>
  <c r="G10" i="57"/>
  <c r="G26" i="57"/>
  <c r="D11" i="57"/>
  <c r="D27" i="57"/>
  <c r="G11" i="57"/>
  <c r="G27" i="57"/>
  <c r="D12" i="57"/>
  <c r="D28" i="57"/>
  <c r="G12" i="57"/>
  <c r="G28" i="57"/>
  <c r="D13" i="57"/>
  <c r="D29" i="57"/>
  <c r="G13" i="57"/>
  <c r="G29" i="57"/>
  <c r="D14" i="57"/>
  <c r="D30" i="57"/>
  <c r="G14" i="57"/>
  <c r="G30" i="57"/>
  <c r="D15" i="57"/>
  <c r="D31" i="57"/>
  <c r="G15" i="57"/>
  <c r="G31" i="57"/>
  <c r="D16" i="57"/>
  <c r="D33" i="57"/>
  <c r="G16" i="57"/>
  <c r="G33" i="57"/>
  <c r="M24" i="48" a="1"/>
  <c r="M7" i="48" a="1"/>
  <c r="M6" i="48" a="1"/>
  <c r="M20" i="48" a="1"/>
  <c r="M19" i="48" a="1"/>
  <c r="M16" i="48" a="1"/>
  <c r="M14" i="48" a="1"/>
  <c r="M8" i="48" a="1"/>
  <c r="M4" i="48" a="1"/>
  <c r="M17" i="48" a="1"/>
  <c r="M15" i="48" a="1"/>
  <c r="M12" i="48" a="1"/>
  <c r="M11" i="48" a="1"/>
  <c r="M21" i="48" a="1"/>
  <c r="M10" i="48" a="1"/>
  <c r="M23" i="48" a="1"/>
  <c r="M13" i="48" a="1"/>
  <c r="M18" i="48" a="1"/>
  <c r="M18" i="48" l="1"/>
  <c r="M13" i="48"/>
  <c r="M23" i="48"/>
  <c r="M10" i="48"/>
  <c r="M21" i="48"/>
  <c r="M11" i="48"/>
  <c r="M12" i="48"/>
  <c r="M15" i="48"/>
  <c r="M17" i="48"/>
  <c r="M4" i="48"/>
  <c r="M8" i="48"/>
  <c r="M14" i="48"/>
  <c r="M16" i="48"/>
  <c r="M19" i="48"/>
  <c r="M20" i="48"/>
  <c r="M6" i="48"/>
  <c r="M7" i="48"/>
  <c r="M24" i="48"/>
  <c r="Y2" i="12" l="1"/>
  <c r="G18" i="43" a="1"/>
  <c r="G10" i="43" a="1"/>
  <c r="C22" i="43" a="1"/>
  <c r="C6" i="43" a="1"/>
  <c r="F22" i="42" a="1"/>
  <c r="F20" i="42" a="1"/>
  <c r="F18" i="42" a="1"/>
  <c r="F16" i="42" a="1"/>
  <c r="F14" i="42" a="1"/>
  <c r="F12" i="42" a="1"/>
  <c r="F10" i="42" a="1"/>
  <c r="F8" i="42" a="1"/>
  <c r="F6" i="42" a="1"/>
  <c r="F4" i="42" a="1"/>
  <c r="R3" i="18" a="1"/>
  <c r="B3" i="18" a="1"/>
  <c r="H2" i="15" a="1"/>
  <c r="N2" i="5" a="1"/>
  <c r="J28" i="48" a="1"/>
  <c r="H2" i="38" a="1"/>
  <c r="AF4" i="9" a="1"/>
  <c r="P4" i="9" a="1"/>
  <c r="H17" i="43" a="1"/>
  <c r="H9" i="43" a="1"/>
  <c r="C21" i="43" a="1"/>
  <c r="C5" i="43" a="1"/>
  <c r="E22" i="42" a="1"/>
  <c r="E20" i="42" a="1"/>
  <c r="E18" i="42" a="1"/>
  <c r="E16" i="42" a="1"/>
  <c r="E14" i="42" a="1"/>
  <c r="E12" i="42" a="1"/>
  <c r="E10" i="42" a="1"/>
  <c r="E8" i="42" a="1"/>
  <c r="E6" i="42" a="1"/>
  <c r="E4" i="42" a="1"/>
  <c r="Q3" i="18" a="1"/>
  <c r="A3" i="18" a="1"/>
  <c r="G2" i="15" a="1"/>
  <c r="M2" i="5" a="1"/>
  <c r="S2" i="7" a="1"/>
  <c r="C2" i="7" a="1"/>
  <c r="I2" i="47" a="1"/>
  <c r="O2" i="46" a="1"/>
  <c r="I12" i="52" a="1"/>
  <c r="I10" i="52" a="1"/>
  <c r="I8" i="52" a="1"/>
  <c r="I6" i="52" a="1"/>
  <c r="I4" i="52" a="1"/>
  <c r="U25" i="56" a="1"/>
  <c r="U21" i="56" a="1"/>
  <c r="U17" i="56" a="1"/>
  <c r="U13" i="56" a="1"/>
  <c r="U9" i="56" a="1"/>
  <c r="U5" i="56" a="1"/>
  <c r="I22" i="56" a="1"/>
  <c r="I18" i="56" a="1"/>
  <c r="I14" i="56" a="1"/>
  <c r="I10" i="56" a="1"/>
  <c r="I6" i="56" a="1"/>
  <c r="S22" i="12" a="1"/>
  <c r="L21" i="12" a="1"/>
  <c r="N19" i="12" a="1"/>
  <c r="P17" i="12" a="1"/>
  <c r="R15" i="12" a="1"/>
  <c r="K14" i="12" a="1"/>
  <c r="M12" i="12" a="1"/>
  <c r="O10" i="12" a="1"/>
  <c r="Q8" i="12" a="1"/>
  <c r="S6" i="12" a="1"/>
  <c r="L5" i="12" a="1"/>
  <c r="J27" i="48" a="1"/>
  <c r="G2" i="38" a="1"/>
  <c r="AE4" i="9" a="1"/>
  <c r="O4" i="9" a="1"/>
  <c r="G17" i="43" a="1"/>
  <c r="G9" i="43" a="1"/>
  <c r="C20" i="43" a="1"/>
  <c r="C4" i="43" a="1"/>
  <c r="D22" i="42" a="1"/>
  <c r="D20" i="42" a="1"/>
  <c r="D18" i="42" a="1"/>
  <c r="D16" i="42" a="1"/>
  <c r="D14" i="42" a="1"/>
  <c r="D12" i="42" a="1"/>
  <c r="D10" i="42" a="1"/>
  <c r="D8" i="42" a="1"/>
  <c r="D6" i="42" a="1"/>
  <c r="V2" i="38" a="1"/>
  <c r="F2" i="38" a="1"/>
  <c r="AD4" i="9" a="1"/>
  <c r="N4" i="9" a="1"/>
  <c r="H16" i="43" a="1"/>
  <c r="H8" i="43" a="1"/>
  <c r="C19" i="43" a="1"/>
  <c r="C3" i="43" a="1"/>
  <c r="C22" i="42" a="1"/>
  <c r="C20" i="42" a="1"/>
  <c r="C18" i="42" a="1"/>
  <c r="C16" i="42" a="1"/>
  <c r="C14" i="42" a="1"/>
  <c r="C12" i="42" a="1"/>
  <c r="C10" i="42" a="1"/>
  <c r="C8" i="42" a="1"/>
  <c r="C6" i="42" a="1"/>
  <c r="C4" i="42" a="1"/>
  <c r="O3" i="18" a="1"/>
  <c r="U2" i="38" a="1"/>
  <c r="E2" i="38" a="1"/>
  <c r="AC4" i="9" a="1"/>
  <c r="M4" i="9" a="1"/>
  <c r="A4" i="9" a="1"/>
  <c r="G16" i="43" a="1"/>
  <c r="T2" i="38" a="1"/>
  <c r="D2" i="38" a="1"/>
  <c r="H23" i="43" a="1"/>
  <c r="H15" i="43" a="1"/>
  <c r="H7" i="43" a="1"/>
  <c r="C17" i="43" a="1"/>
  <c r="I23" i="42" a="1"/>
  <c r="I21" i="42" a="1"/>
  <c r="S2" i="38" a="1"/>
  <c r="C2" i="38" a="1"/>
  <c r="G23" i="43" a="1"/>
  <c r="R2" i="38" a="1"/>
  <c r="B2" i="38" a="1"/>
  <c r="Z4" i="9" a="1"/>
  <c r="H22" i="43" a="1"/>
  <c r="H14" i="43" a="1"/>
  <c r="H6" i="43" a="1"/>
  <c r="C15" i="43" a="1"/>
  <c r="G23" i="42" a="1"/>
  <c r="G21" i="42" a="1"/>
  <c r="G19" i="42" a="1"/>
  <c r="G17" i="42" a="1"/>
  <c r="G15" i="42" a="1"/>
  <c r="Q2" i="38" a="1"/>
  <c r="A2" i="38" a="1"/>
  <c r="Y4" i="9" a="1"/>
  <c r="I4" i="9" a="1"/>
  <c r="G22" i="43" a="1"/>
  <c r="G14" i="43" a="1"/>
  <c r="G6" i="43" a="1"/>
  <c r="C14" i="43" a="1"/>
  <c r="F23" i="42" a="1"/>
  <c r="F21" i="42" a="1"/>
  <c r="F19" i="42" a="1"/>
  <c r="F17" i="42" a="1"/>
  <c r="F15" i="42" a="1"/>
  <c r="F13" i="42" a="1"/>
  <c r="F11" i="42" a="1"/>
  <c r="F9" i="42" a="1"/>
  <c r="F7" i="42" a="1"/>
  <c r="F5" i="42" a="1"/>
  <c r="F3" i="42" a="1"/>
  <c r="J3" i="18" a="1"/>
  <c r="P2" i="15" a="1"/>
  <c r="V2" i="5" a="1"/>
  <c r="F2" i="5" a="1"/>
  <c r="L2" i="7" a="1"/>
  <c r="R2" i="47" a="1"/>
  <c r="P2" i="38" a="1"/>
  <c r="AN4" i="9" a="1"/>
  <c r="X4" i="9" a="1"/>
  <c r="H4" i="9" a="1"/>
  <c r="H21" i="43" a="1"/>
  <c r="H13" i="43" a="1"/>
  <c r="H5" i="43" a="1"/>
  <c r="C13" i="43" a="1"/>
  <c r="O2" i="38" a="1"/>
  <c r="G21" i="43" a="1"/>
  <c r="G13" i="43" a="1"/>
  <c r="G5" i="43" a="1"/>
  <c r="C12" i="43" a="1"/>
  <c r="D23" i="42" a="1"/>
  <c r="D21" i="42" a="1"/>
  <c r="D19" i="42" a="1"/>
  <c r="D17" i="42" a="1"/>
  <c r="D15" i="42" a="1"/>
  <c r="D13" i="42" a="1"/>
  <c r="D11" i="42" a="1"/>
  <c r="D9" i="42" a="1"/>
  <c r="D7" i="42" a="1"/>
  <c r="D5" i="42" a="1"/>
  <c r="D3" i="42" a="1"/>
  <c r="N2" i="38" a="1"/>
  <c r="AL4" i="9" a="1"/>
  <c r="V4" i="9" a="1"/>
  <c r="F4" i="9" a="1"/>
  <c r="H20" i="43" a="1"/>
  <c r="H12" i="43" a="1"/>
  <c r="H4" i="43" a="1"/>
  <c r="C11" i="43" a="1"/>
  <c r="C23" i="42" a="1"/>
  <c r="C21" i="42" a="1"/>
  <c r="C19" i="42" a="1"/>
  <c r="C17" i="42" a="1"/>
  <c r="M2" i="38" a="1"/>
  <c r="G20" i="43" a="1"/>
  <c r="L2" i="38" a="1"/>
  <c r="AJ4" i="9" a="1"/>
  <c r="T4" i="9" a="1"/>
  <c r="H19" i="43" a="1"/>
  <c r="H11" i="43" a="1"/>
  <c r="H3" i="43" a="1"/>
  <c r="C9" i="43" a="1"/>
  <c r="I22" i="42" a="1"/>
  <c r="K2" i="38" a="1"/>
  <c r="AI4" i="9" a="1"/>
  <c r="J2" i="38" a="1"/>
  <c r="AH4" i="9" a="1"/>
  <c r="R4" i="9" a="1"/>
  <c r="B4" i="9" a="1"/>
  <c r="H18" i="43" a="1"/>
  <c r="H10" i="43" a="1"/>
  <c r="C23" i="43" a="1"/>
  <c r="C7" i="43" a="1"/>
  <c r="G22" i="42" a="1"/>
  <c r="G20" i="42" a="1"/>
  <c r="G18" i="42" a="1"/>
  <c r="G16" i="42" a="1"/>
  <c r="G14" i="42" a="1"/>
  <c r="G12" i="42" a="1"/>
  <c r="G10" i="42" a="1"/>
  <c r="G8" i="42" a="1"/>
  <c r="G6" i="42" a="1"/>
  <c r="G4" i="42" a="1"/>
  <c r="S3" i="18" a="1"/>
  <c r="C3" i="18" a="1"/>
  <c r="I2" i="15" a="1"/>
  <c r="O2" i="5" a="1"/>
  <c r="U2" i="7" a="1"/>
  <c r="E2" i="7" a="1"/>
  <c r="K2" i="47" a="1"/>
  <c r="Q2" i="46" a="1"/>
  <c r="A2" i="46" a="1"/>
  <c r="I2" i="38" a="1"/>
  <c r="AG4" i="9" a="1"/>
  <c r="Q4" i="9" a="1"/>
  <c r="AM4" i="9" a="1"/>
  <c r="G12" i="43" a="1"/>
  <c r="H23" i="42" a="1"/>
  <c r="H11" i="42" a="1"/>
  <c r="J7" i="42" a="1"/>
  <c r="E2" i="15" a="1"/>
  <c r="E2" i="5" a="1"/>
  <c r="F2" i="7" a="1"/>
  <c r="G2" i="46" a="1"/>
  <c r="E11" i="52" a="1"/>
  <c r="V22" i="56" a="1"/>
  <c r="V17" i="56" a="1"/>
  <c r="G24" i="56" a="1"/>
  <c r="H19" i="56" a="1"/>
  <c r="P21" i="12" a="1"/>
  <c r="R12" i="12" a="1"/>
  <c r="Q10" i="12" a="1"/>
  <c r="O8" i="12" a="1"/>
  <c r="N4" i="12" a="1"/>
  <c r="Q33" i="12" a="1"/>
  <c r="F32" i="12" a="1"/>
  <c r="E20" i="12" a="1"/>
  <c r="E14" i="12" a="1"/>
  <c r="E8" i="12" a="1"/>
  <c r="J20" i="39" a="1"/>
  <c r="J2" i="39" a="1"/>
  <c r="H6" i="39" a="1"/>
  <c r="F10" i="39" a="1"/>
  <c r="K21" i="28" a="1"/>
  <c r="L15" i="28" a="1"/>
  <c r="M9" i="28" a="1"/>
  <c r="H16" i="28" a="1"/>
  <c r="G8" i="28" a="1"/>
  <c r="D13" i="28" a="1"/>
  <c r="E4" i="28" a="1"/>
  <c r="J27" i="1" a="1"/>
  <c r="G22" i="1" a="1"/>
  <c r="K19" i="1" a="1"/>
  <c r="H17" i="1" a="1"/>
  <c r="L14" i="1" a="1"/>
  <c r="I12" i="1" a="1"/>
  <c r="F10" i="1" a="1"/>
  <c r="C29" i="55" a="1"/>
  <c r="AK4" i="9" a="1"/>
  <c r="C15" i="42" a="1"/>
  <c r="H4" i="42" a="1"/>
  <c r="H3" i="18" a="1"/>
  <c r="D2" i="7" a="1"/>
  <c r="D2" i="47" a="1"/>
  <c r="G8" i="52" a="1"/>
  <c r="D6" i="52" a="1"/>
  <c r="I3" i="52" a="1"/>
  <c r="T17" i="56" a="1"/>
  <c r="U12" i="56" a="1"/>
  <c r="V7" i="56" a="1"/>
  <c r="G19" i="56" a="1"/>
  <c r="J13" i="56" a="1"/>
  <c r="AB4" i="9" a="1"/>
  <c r="E23" i="42" a="1"/>
  <c r="J18" i="42" a="1"/>
  <c r="G11" i="42" a="1"/>
  <c r="I7" i="42" a="1"/>
  <c r="D4" i="42" a="1"/>
  <c r="G3" i="18" a="1"/>
  <c r="D2" i="15" a="1"/>
  <c r="D2" i="5" a="1"/>
  <c r="B2" i="7" a="1"/>
  <c r="F2" i="46" a="1"/>
  <c r="D11" i="52" a="1"/>
  <c r="U22" i="56" a="1"/>
  <c r="J23" i="56" a="1"/>
  <c r="J18" i="56" a="1"/>
  <c r="P23" i="12" a="1"/>
  <c r="O21" i="12" a="1"/>
  <c r="Q12" i="12" a="1"/>
  <c r="N8" i="12" a="1"/>
  <c r="M4" i="12" a="1"/>
  <c r="G19" i="12" a="1"/>
  <c r="G13" i="12" a="1"/>
  <c r="G7" i="12" a="1"/>
  <c r="J19" i="39" a="1"/>
  <c r="H22" i="39" a="1"/>
  <c r="H5" i="39" a="1"/>
  <c r="F9" i="39" a="1"/>
  <c r="M20" i="28" a="1"/>
  <c r="K15" i="28" a="1"/>
  <c r="L3" i="28" a="1"/>
  <c r="G16" i="28" a="1"/>
  <c r="H7" i="28" a="1"/>
  <c r="D21" i="28" a="1"/>
  <c r="E12" i="28" a="1"/>
  <c r="D4" i="28" a="1"/>
  <c r="I27" i="1" a="1"/>
  <c r="F22" i="1" a="1"/>
  <c r="J19" i="1" a="1"/>
  <c r="G17" i="1" a="1"/>
  <c r="K14" i="1" a="1"/>
  <c r="H12" i="1" a="1"/>
  <c r="L9" i="1" a="1"/>
  <c r="C28" i="55" a="1"/>
  <c r="C12" i="55" a="1"/>
  <c r="K3" i="28" a="1"/>
  <c r="E20" i="28" a="1"/>
  <c r="D12" i="28" a="1"/>
  <c r="E3" i="28" a="1"/>
  <c r="H27" i="1" a="1"/>
  <c r="L21" i="1" a="1"/>
  <c r="I19" i="1" a="1"/>
  <c r="F17" i="1" a="1"/>
  <c r="J14" i="1" a="1"/>
  <c r="G12" i="1" a="1"/>
  <c r="G7" i="1" a="1"/>
  <c r="C27" i="55" a="1"/>
  <c r="K32" i="12" a="1"/>
  <c r="H2" i="39" a="1"/>
  <c r="H14" i="28" a="1"/>
  <c r="E19" i="28" a="1"/>
  <c r="F27" i="1" a="1"/>
  <c r="K16" i="1" a="1"/>
  <c r="H9" i="1" a="1"/>
  <c r="C9" i="55" a="1"/>
  <c r="G9" i="1" a="1"/>
  <c r="M14" i="12" a="1"/>
  <c r="AA4" i="9" a="1"/>
  <c r="G11" i="43" a="1"/>
  <c r="J14" i="42" a="1"/>
  <c r="E11" i="42" a="1"/>
  <c r="C2" i="5" a="1"/>
  <c r="C2" i="47" a="1"/>
  <c r="E2" i="46" a="1"/>
  <c r="C11" i="52" a="1"/>
  <c r="F8" i="52" a="1"/>
  <c r="C6" i="52" a="1"/>
  <c r="H3" i="52" a="1"/>
  <c r="S17" i="56" a="1"/>
  <c r="T12" i="56" a="1"/>
  <c r="U7" i="56" a="1"/>
  <c r="H18" i="56" a="1"/>
  <c r="I13" i="56" a="1"/>
  <c r="J8" i="56" a="1"/>
  <c r="N21" i="12" a="1"/>
  <c r="K19" i="12" a="1"/>
  <c r="S16" i="12" a="1"/>
  <c r="R14" i="12" a="1"/>
  <c r="N10" i="12" a="1"/>
  <c r="M6" i="12" a="1"/>
  <c r="O33" i="12" a="1"/>
  <c r="K33" i="12" a="1"/>
  <c r="G31" i="12" a="1"/>
  <c r="M14" i="28" a="1"/>
  <c r="K9" i="28" a="1"/>
  <c r="K9" i="1" a="1"/>
  <c r="H7" i="1" a="1"/>
  <c r="L4" i="1" a="1"/>
  <c r="M8" i="12" a="1"/>
  <c r="L4" i="12" a="1"/>
  <c r="F31" i="12" a="1"/>
  <c r="F7" i="12" a="1"/>
  <c r="H21" i="39" a="1"/>
  <c r="M8" i="28" a="1"/>
  <c r="H15" i="28" a="1"/>
  <c r="G7" i="28" a="1"/>
  <c r="C11" i="55" a="1"/>
  <c r="G8" i="56" a="1"/>
  <c r="M23" i="12" a="1"/>
  <c r="K8" i="12" a="1"/>
  <c r="K8" i="28" a="1"/>
  <c r="W4" i="9" a="1"/>
  <c r="I18" i="42" a="1"/>
  <c r="H7" i="42" a="1"/>
  <c r="F3" i="18" a="1"/>
  <c r="C2" i="15" a="1"/>
  <c r="A2" i="7" a="1"/>
  <c r="J10" i="52" a="1"/>
  <c r="G3" i="52" a="1"/>
  <c r="T22" i="56" a="1"/>
  <c r="I23" i="56" a="1"/>
  <c r="O23" i="12" a="1"/>
  <c r="M21" i="12" a="1"/>
  <c r="Q14" i="12" a="1"/>
  <c r="P12" i="12" a="1"/>
  <c r="M32" i="12" a="1"/>
  <c r="F19" i="12" a="1"/>
  <c r="F13" i="12" a="1"/>
  <c r="J18" i="39" a="1"/>
  <c r="H4" i="39" a="1"/>
  <c r="F8" i="39" a="1"/>
  <c r="L20" i="28" a="1"/>
  <c r="G6" i="28" a="1"/>
  <c r="L6" i="1" a="1"/>
  <c r="C25" i="55" a="1"/>
  <c r="K6" i="1" a="1"/>
  <c r="U4" i="9" a="1"/>
  <c r="G8" i="43" a="1"/>
  <c r="J22" i="42" a="1"/>
  <c r="I14" i="42" a="1"/>
  <c r="C11" i="42" a="1"/>
  <c r="J3" i="42" a="1"/>
  <c r="B2" i="5" a="1"/>
  <c r="B2" i="47" a="1"/>
  <c r="D2" i="46" a="1"/>
  <c r="H10" i="52" a="1"/>
  <c r="E8" i="52" a="1"/>
  <c r="J5" i="52" a="1"/>
  <c r="S22" i="56" a="1"/>
  <c r="V16" i="56" a="1"/>
  <c r="S12" i="56" a="1"/>
  <c r="T7" i="56" a="1"/>
  <c r="G18" i="56" a="1"/>
  <c r="H13" i="56" a="1"/>
  <c r="I8" i="56" a="1"/>
  <c r="K21" i="12" a="1"/>
  <c r="S18" i="12" a="1"/>
  <c r="R16" i="12" a="1"/>
  <c r="O12" i="12" a="1"/>
  <c r="M10" i="12" a="1"/>
  <c r="L6" i="12" a="1"/>
  <c r="K4" i="12" a="1"/>
  <c r="R32" i="12" a="1"/>
  <c r="L32" i="12" a="1"/>
  <c r="J17" i="39" a="1"/>
  <c r="K20" i="28" a="1"/>
  <c r="L14" i="28" a="1"/>
  <c r="F12" i="1" a="1"/>
  <c r="J9" i="1" a="1"/>
  <c r="K4" i="1" a="1"/>
  <c r="K21" i="1" a="1"/>
  <c r="H19" i="1" a="1"/>
  <c r="L16" i="1" a="1"/>
  <c r="I14" i="1" a="1"/>
  <c r="I9" i="1" a="1"/>
  <c r="F7" i="1" a="1"/>
  <c r="C26" i="55" a="1"/>
  <c r="C10" i="55" a="1"/>
  <c r="U16" i="56" a="1"/>
  <c r="F6" i="39" a="1"/>
  <c r="J4" i="1" a="1"/>
  <c r="J22" i="56" a="1"/>
  <c r="P32" i="12" a="1"/>
  <c r="M31" i="12" a="1"/>
  <c r="G18" i="12" a="1"/>
  <c r="G12" i="12" a="1"/>
  <c r="G6" i="12" a="1"/>
  <c r="G23" i="28" a="1"/>
  <c r="K11" i="1" a="1"/>
  <c r="C24" i="55" a="1"/>
  <c r="S4" i="9" a="1"/>
  <c r="H18" i="42" a="1"/>
  <c r="G7" i="42" a="1"/>
  <c r="E3" i="18" a="1"/>
  <c r="B2" i="15" a="1"/>
  <c r="V2" i="47" a="1"/>
  <c r="F3" i="52" a="1"/>
  <c r="V21" i="56" a="1"/>
  <c r="S7" i="56" a="1"/>
  <c r="H23" i="56" a="1"/>
  <c r="N23" i="12" a="1"/>
  <c r="P14" i="12" a="1"/>
  <c r="N12" i="12" a="1"/>
  <c r="L8" i="12" a="1"/>
  <c r="E31" i="12" a="1"/>
  <c r="E19" i="12" a="1"/>
  <c r="E13" i="12" a="1"/>
  <c r="E7" i="12" a="1"/>
  <c r="H20" i="39" a="1"/>
  <c r="H3" i="39" a="1"/>
  <c r="F7" i="39" a="1"/>
  <c r="K14" i="28" a="1"/>
  <c r="L8" i="28" a="1"/>
  <c r="H23" i="28" a="1"/>
  <c r="G15" i="28" a="1"/>
  <c r="H6" i="28" a="1"/>
  <c r="D20" i="28" a="1"/>
  <c r="E11" i="28" a="1"/>
  <c r="D3" i="28" a="1"/>
  <c r="G27" i="1" a="1"/>
  <c r="Q16" i="12" a="1"/>
  <c r="Q32" i="12" a="1"/>
  <c r="H14" i="1" a="1"/>
  <c r="L11" i="1" a="1"/>
  <c r="V6" i="56" a="1"/>
  <c r="G30" i="12" a="1"/>
  <c r="M13" i="28" a="1"/>
  <c r="D11" i="28" a="1"/>
  <c r="J21" i="1" a="1"/>
  <c r="G19" i="1" a="1"/>
  <c r="Q3" i="12" a="1"/>
  <c r="R31" i="12" a="1"/>
  <c r="H14" i="42" a="1"/>
  <c r="J10" i="42" a="1"/>
  <c r="E7" i="42" a="1"/>
  <c r="I3" i="42" a="1"/>
  <c r="A2" i="5" a="1"/>
  <c r="A2" i="47" a="1"/>
  <c r="C2" i="46" a="1"/>
  <c r="G10" i="52" a="1"/>
  <c r="D8" i="52" a="1"/>
  <c r="I5" i="52" a="1"/>
  <c r="T21" i="56" a="1"/>
  <c r="V11" i="56" a="1"/>
  <c r="G23" i="56" a="1"/>
  <c r="J17" i="56" a="1"/>
  <c r="G13" i="56" a="1"/>
  <c r="H8" i="56" a="1"/>
  <c r="S20" i="12" a="1"/>
  <c r="R18" i="12" a="1"/>
  <c r="L10" i="12" a="1"/>
  <c r="K6" i="12" a="1"/>
  <c r="S3" i="12" a="1"/>
  <c r="J16" i="39" a="1"/>
  <c r="M19" i="28" a="1"/>
  <c r="O14" i="12" a="1"/>
  <c r="L12" i="12" a="1"/>
  <c r="L19" i="28" a="1"/>
  <c r="L4" i="9" a="1"/>
  <c r="G7" i="43" a="1"/>
  <c r="H22" i="42" a="1"/>
  <c r="D3" i="18" a="1"/>
  <c r="A2" i="15" a="1"/>
  <c r="U2" i="47" a="1"/>
  <c r="E3" i="52" a="1"/>
  <c r="H19" i="39" a="1"/>
  <c r="Q20" i="12" a="1"/>
  <c r="K4" i="9" a="1"/>
  <c r="J17" i="42" a="1"/>
  <c r="I10" i="42" a="1"/>
  <c r="C7" i="42" a="1"/>
  <c r="H3" i="42" a="1"/>
  <c r="V2" i="15" a="1"/>
  <c r="V2" i="7" a="1"/>
  <c r="V2" i="46" a="1"/>
  <c r="B2" i="46" a="1"/>
  <c r="F10" i="52" a="1"/>
  <c r="C8" i="52" a="1"/>
  <c r="H5" i="52" a="1"/>
  <c r="S21" i="56" a="1"/>
  <c r="T16" i="56" a="1"/>
  <c r="U11" i="56" a="1"/>
  <c r="H22" i="56" a="1"/>
  <c r="I17" i="56" a="1"/>
  <c r="J12" i="56" a="1"/>
  <c r="L23" i="12" a="1"/>
  <c r="R20" i="12" a="1"/>
  <c r="Q18" i="12" a="1"/>
  <c r="P16" i="12" a="1"/>
  <c r="K10" i="12" a="1"/>
  <c r="S5" i="12" a="1"/>
  <c r="R3" i="12" a="1"/>
  <c r="O32" i="12" a="1"/>
  <c r="F6" i="12" a="1"/>
  <c r="J15" i="39" a="1"/>
  <c r="F22" i="39" a="1"/>
  <c r="F5" i="39" a="1"/>
  <c r="J16" i="1" a="1"/>
  <c r="G14" i="1" a="1"/>
  <c r="I4" i="1" a="1"/>
  <c r="R5" i="12" a="1"/>
  <c r="L31" i="12" a="1"/>
  <c r="F30" i="12" a="1"/>
  <c r="F18" i="12" a="1"/>
  <c r="F12" i="12" a="1"/>
  <c r="H18" i="39" a="1"/>
  <c r="F4" i="39" a="1"/>
  <c r="H22" i="28" a="1"/>
  <c r="H5" i="28" a="1"/>
  <c r="D19" i="28" a="1"/>
  <c r="E10" i="28" a="1"/>
  <c r="L23" i="1" a="1"/>
  <c r="F19" i="1" a="1"/>
  <c r="F14" i="1" a="1"/>
  <c r="I12" i="56" a="1"/>
  <c r="S9" i="12" a="1"/>
  <c r="E6" i="12" a="1"/>
  <c r="H17" i="39" a="1"/>
  <c r="F21" i="39" a="1"/>
  <c r="J4" i="9" a="1"/>
  <c r="J21" i="42" a="1"/>
  <c r="J13" i="42" a="1"/>
  <c r="U2" i="5" a="1"/>
  <c r="T2" i="7" a="1"/>
  <c r="T2" i="47" a="1"/>
  <c r="U2" i="46" a="1"/>
  <c r="J12" i="52" a="1"/>
  <c r="G5" i="52" a="1"/>
  <c r="D3" i="52" a="1"/>
  <c r="U6" i="56" a="1"/>
  <c r="J7" i="56" a="1"/>
  <c r="K23" i="12" a="1"/>
  <c r="O16" i="12" a="1"/>
  <c r="N14" i="12" a="1"/>
  <c r="K12" i="12" a="1"/>
  <c r="S7" i="12" a="1"/>
  <c r="K19" i="28" a="1"/>
  <c r="L13" i="28" a="1"/>
  <c r="M7" i="28" a="1"/>
  <c r="G14" i="28" a="1"/>
  <c r="O22" i="1" a="1"/>
  <c r="I21" i="1" a="1"/>
  <c r="J11" i="1" a="1"/>
  <c r="P18" i="12" a="1"/>
  <c r="G4" i="9" a="1"/>
  <c r="I17" i="42" a="1"/>
  <c r="H10" i="42" a="1"/>
  <c r="J6" i="42" a="1"/>
  <c r="G3" i="42" a="1"/>
  <c r="U2" i="15" a="1"/>
  <c r="R2" i="7" a="1"/>
  <c r="H12" i="52" a="1"/>
  <c r="E10" i="52" a="1"/>
  <c r="J7" i="52" a="1"/>
  <c r="C3" i="52" a="1"/>
  <c r="V20" i="56" a="1"/>
  <c r="S16" i="56" a="1"/>
  <c r="T11" i="56" a="1"/>
  <c r="G22" i="56" a="1"/>
  <c r="H17" i="56" a="1"/>
  <c r="R22" i="12" a="1"/>
  <c r="J14" i="39" a="1"/>
  <c r="E4" i="9" a="1"/>
  <c r="G4" i="43" a="1"/>
  <c r="I13" i="42" a="1"/>
  <c r="E3" i="42" a="1"/>
  <c r="T2" i="5" a="1"/>
  <c r="S2" i="47" a="1"/>
  <c r="T2" i="46" a="1"/>
  <c r="F5" i="52" a="1"/>
  <c r="V25" i="56" a="1"/>
  <c r="S11" i="56" a="1"/>
  <c r="T6" i="56" a="1"/>
  <c r="I7" i="56" a="1"/>
  <c r="N16" i="12" a="1"/>
  <c r="L14" i="12" a="1"/>
  <c r="S11" i="12" a="1"/>
  <c r="R7" i="12" a="1"/>
  <c r="Q5" i="12" a="1"/>
  <c r="P3" i="12" a="1"/>
  <c r="Q31" i="12" a="1"/>
  <c r="K31" i="12" a="1"/>
  <c r="E30" i="12" a="1"/>
  <c r="E18" i="12" a="1"/>
  <c r="E12" i="12" a="1"/>
  <c r="J13" i="39" a="1"/>
  <c r="F20" i="39" a="1"/>
  <c r="F3" i="39" a="1"/>
  <c r="M18" i="28" a="1"/>
  <c r="K13" i="28" a="1"/>
  <c r="L7" i="28" a="1"/>
  <c r="G22" i="28" a="1"/>
  <c r="H13" i="28" a="1"/>
  <c r="G5" i="28" a="1"/>
  <c r="D10" i="28" a="1"/>
  <c r="K23" i="1" a="1"/>
  <c r="D4" i="9" a="1"/>
  <c r="H21" i="42" a="1"/>
  <c r="H17" i="42" a="1"/>
  <c r="I6" i="42" a="1"/>
  <c r="T2" i="15" a="1"/>
  <c r="S2" i="5" a="1"/>
  <c r="Q2" i="7" a="1"/>
  <c r="G12" i="52" a="1"/>
  <c r="D10" i="52" a="1"/>
  <c r="I7" i="52" a="1"/>
  <c r="T25" i="56" a="1"/>
  <c r="U20" i="56" a="1"/>
  <c r="V15" i="56" a="1"/>
  <c r="S6" i="56" a="1"/>
  <c r="J21" i="56" a="1"/>
  <c r="G17" i="56" a="1"/>
  <c r="H12" i="56" a="1"/>
  <c r="Q22" i="12" a="1"/>
  <c r="P20" i="12" a="1"/>
  <c r="O18" i="12" a="1"/>
  <c r="S13" i="12" a="1"/>
  <c r="R9" i="12" a="1"/>
  <c r="O3" i="12" a="1"/>
  <c r="G11" i="12" a="1"/>
  <c r="G5" i="12" a="1"/>
  <c r="J12" i="39" a="1"/>
  <c r="H16" i="39" a="1"/>
  <c r="G21" i="1" a="1"/>
  <c r="K18" i="1" a="1"/>
  <c r="G4" i="1" a="1"/>
  <c r="G16" i="1" a="1"/>
  <c r="J20" i="1" a="1"/>
  <c r="H13" i="1" a="1"/>
  <c r="E15" i="12" a="1"/>
  <c r="L10" i="28" a="1"/>
  <c r="L27" i="1" a="1"/>
  <c r="C4" i="9" a="1"/>
  <c r="H13" i="42" a="1"/>
  <c r="J9" i="42" a="1"/>
  <c r="C3" i="42" a="1"/>
  <c r="Q2" i="47" a="1"/>
  <c r="S2" i="46" a="1"/>
  <c r="E5" i="52" a="1"/>
  <c r="V10" i="56" a="1"/>
  <c r="V5" i="56" a="1"/>
  <c r="G12" i="56" a="1"/>
  <c r="H7" i="56" a="1"/>
  <c r="M16" i="12" a="1"/>
  <c r="R11" i="12" a="1"/>
  <c r="Q7" i="12" a="1"/>
  <c r="P5" i="12" a="1"/>
  <c r="P31" i="12" a="1"/>
  <c r="M30" i="12" a="1"/>
  <c r="G23" i="12" a="1"/>
  <c r="G17" i="12" a="1"/>
  <c r="H15" i="39" a="1"/>
  <c r="F19" i="39" a="1"/>
  <c r="F2" i="39" a="1"/>
  <c r="L18" i="28" a="1"/>
  <c r="M12" i="28" a="1"/>
  <c r="K7" i="28" a="1"/>
  <c r="H21" i="28" a="1"/>
  <c r="G13" i="28" a="1"/>
  <c r="H4" i="28" a="1"/>
  <c r="D18" i="28" a="1"/>
  <c r="E9" i="28" a="1"/>
  <c r="K13" i="1" a="1"/>
  <c r="H11" i="1" a="1"/>
  <c r="L8" i="1" a="1"/>
  <c r="I6" i="1" a="1"/>
  <c r="C22" i="55" a="1"/>
  <c r="F21" i="1" a="1"/>
  <c r="F6" i="1" a="1"/>
  <c r="H9" i="28" a="1"/>
  <c r="H8" i="39" a="1"/>
  <c r="G3" i="43" a="1"/>
  <c r="E21" i="42" a="1"/>
  <c r="E17" i="42" a="1"/>
  <c r="H6" i="42" a="1"/>
  <c r="S2" i="15" a="1"/>
  <c r="R2" i="5" a="1"/>
  <c r="P2" i="7" a="1"/>
  <c r="F12" i="52" a="1"/>
  <c r="C10" i="52" a="1"/>
  <c r="H7" i="52" a="1"/>
  <c r="S25" i="56" a="1"/>
  <c r="T20" i="56" a="1"/>
  <c r="U15" i="56" a="1"/>
  <c r="T5" i="56" a="1"/>
  <c r="I21" i="56" a="1"/>
  <c r="J16" i="56" a="1"/>
  <c r="G7" i="56" a="1"/>
  <c r="P22" i="12" a="1"/>
  <c r="O20" i="12" a="1"/>
  <c r="N18" i="12" a="1"/>
  <c r="R13" i="12" a="1"/>
  <c r="Q9" i="12" a="1"/>
  <c r="P7" i="12" a="1"/>
  <c r="N3" i="12" a="1"/>
  <c r="F11" i="12" a="1"/>
  <c r="F5" i="12" a="1"/>
  <c r="J11" i="39" a="1"/>
  <c r="I23" i="1" a="1"/>
  <c r="F4" i="1" a="1"/>
  <c r="C19" i="55" a="1"/>
  <c r="G13" i="42" a="1"/>
  <c r="I9" i="42" a="1"/>
  <c r="V3" i="18" a="1"/>
  <c r="P2" i="47" a="1"/>
  <c r="R2" i="46" a="1"/>
  <c r="G7" i="52" a="1"/>
  <c r="D5" i="52" a="1"/>
  <c r="U10" i="56" a="1"/>
  <c r="J11" i="56" a="1"/>
  <c r="J6" i="56" a="1"/>
  <c r="M18" i="12" a="1"/>
  <c r="L16" i="12" a="1"/>
  <c r="Q11" i="12" a="1"/>
  <c r="O5" i="12" a="1"/>
  <c r="M3" i="12" a="1"/>
  <c r="O31" i="12" a="1"/>
  <c r="L30" i="12" a="1"/>
  <c r="F23" i="12" a="1"/>
  <c r="F17" i="12" a="1"/>
  <c r="E5" i="12" a="1"/>
  <c r="J10" i="39" a="1"/>
  <c r="H14" i="39" a="1"/>
  <c r="F18" i="39" a="1"/>
  <c r="M23" i="28" a="1"/>
  <c r="K18" i="28" a="1"/>
  <c r="L12" i="28" a="1"/>
  <c r="M6" i="28" a="1"/>
  <c r="G21" i="28" a="1"/>
  <c r="H12" i="28" a="1"/>
  <c r="G4" i="28" a="1"/>
  <c r="E17" i="28" a="1"/>
  <c r="D9" i="28" a="1"/>
  <c r="L28" i="1" a="1"/>
  <c r="L20" i="1" a="1"/>
  <c r="I18" i="1" a="1"/>
  <c r="F16" i="1" a="1"/>
  <c r="J13" i="1" a="1"/>
  <c r="G11" i="1" a="1"/>
  <c r="K8" i="1" a="1"/>
  <c r="H6" i="1" a="1"/>
  <c r="C21" i="55" a="1"/>
  <c r="N20" i="12" a="1"/>
  <c r="O7" i="12" a="1"/>
  <c r="N5" i="12" a="1"/>
  <c r="E17" i="12" a="1"/>
  <c r="E11" i="12" a="1"/>
  <c r="G4" i="12" a="1"/>
  <c r="K28" i="1" a="1"/>
  <c r="L3" i="1" a="1"/>
  <c r="K20" i="1" a="1"/>
  <c r="L15" i="1" a="1"/>
  <c r="G6" i="1" a="1"/>
  <c r="F16" i="39" a="1"/>
  <c r="H11" i="28" a="1"/>
  <c r="I8" i="1" a="1"/>
  <c r="D23" i="28" a="1"/>
  <c r="J22" i="39" a="1"/>
  <c r="M4" i="28" a="1"/>
  <c r="O12" i="1" a="1"/>
  <c r="C18" i="43" a="1"/>
  <c r="E13" i="42" a="1"/>
  <c r="R2" i="15" a="1"/>
  <c r="Q2" i="5" a="1"/>
  <c r="O2" i="7" a="1"/>
  <c r="O2" i="47" a="1"/>
  <c r="P2" i="46" a="1"/>
  <c r="E12" i="52" a="1"/>
  <c r="J9" i="52" a="1"/>
  <c r="C5" i="52" a="1"/>
  <c r="V24" i="56" a="1"/>
  <c r="S20" i="56" a="1"/>
  <c r="T15" i="56" a="1"/>
  <c r="S5" i="56" a="1"/>
  <c r="H21" i="56" a="1"/>
  <c r="I16" i="56" a="1"/>
  <c r="H6" i="56" a="1"/>
  <c r="O22" i="12" a="1"/>
  <c r="K16" i="12" a="1"/>
  <c r="Q13" i="12" a="1"/>
  <c r="P9" i="12" a="1"/>
  <c r="H23" i="1" a="1"/>
  <c r="E8" i="28" a="1"/>
  <c r="C20" i="55" a="1"/>
  <c r="M11" i="28" a="1"/>
  <c r="G3" i="28" a="1"/>
  <c r="D8" i="28" a="1"/>
  <c r="F23" i="1" a="1"/>
  <c r="G18" i="1" a="1"/>
  <c r="L10" i="1" a="1"/>
  <c r="G3" i="1" a="1"/>
  <c r="J20" i="42" a="1"/>
  <c r="J16" i="42" a="1"/>
  <c r="H9" i="42" a="1"/>
  <c r="J5" i="42" a="1"/>
  <c r="U3" i="18" a="1"/>
  <c r="N2" i="46" a="1"/>
  <c r="F7" i="52" a="1"/>
  <c r="J4" i="52" a="1"/>
  <c r="S15" i="56" a="1"/>
  <c r="T10" i="56" a="1"/>
  <c r="I11" i="56" a="1"/>
  <c r="L18" i="12" a="1"/>
  <c r="S15" i="12" a="1"/>
  <c r="P11" i="12" a="1"/>
  <c r="M5" i="12" a="1"/>
  <c r="L3" i="12" a="1"/>
  <c r="R30" i="12" a="1"/>
  <c r="K30" i="12" a="1"/>
  <c r="E23" i="12" a="1"/>
  <c r="J9" i="39" a="1"/>
  <c r="H13" i="39" a="1"/>
  <c r="F17" i="39" a="1"/>
  <c r="L23" i="28" a="1"/>
  <c r="M17" i="28" a="1"/>
  <c r="K12" i="28" a="1"/>
  <c r="L6" i="28" a="1"/>
  <c r="H20" i="28" a="1"/>
  <c r="G12" i="28" a="1"/>
  <c r="H3" i="28" a="1"/>
  <c r="D17" i="28" a="1"/>
  <c r="G23" i="1" a="1"/>
  <c r="H18" i="1" a="1"/>
  <c r="I13" i="1" a="1"/>
  <c r="F11" i="1" a="1"/>
  <c r="J8" i="1" a="1"/>
  <c r="E5" i="28" a="1"/>
  <c r="I22" i="1" a="1"/>
  <c r="C13" i="42" a="1"/>
  <c r="Q2" i="15" a="1"/>
  <c r="P2" i="5" a="1"/>
  <c r="N2" i="7" a="1"/>
  <c r="N2" i="47" a="1"/>
  <c r="D12" i="52" a="1"/>
  <c r="I9" i="52" a="1"/>
  <c r="H4" i="52" a="1"/>
  <c r="U24" i="56" a="1"/>
  <c r="V19" i="56" a="1"/>
  <c r="S10" i="56" a="1"/>
  <c r="J25" i="56" a="1"/>
  <c r="G21" i="56" a="1"/>
  <c r="H16" i="56" a="1"/>
  <c r="G6" i="56" a="1"/>
  <c r="N22" i="12" a="1"/>
  <c r="M20" i="12" a="1"/>
  <c r="Q15" i="12" a="1"/>
  <c r="P13" i="12" a="1"/>
  <c r="O9" i="12" a="1"/>
  <c r="N7" i="12" a="1"/>
  <c r="G16" i="12" a="1"/>
  <c r="G10" i="12" a="1"/>
  <c r="F4" i="12" a="1"/>
  <c r="J28" i="1" a="1"/>
  <c r="K3" i="1" a="1"/>
  <c r="H11" i="56" a="1"/>
  <c r="K18" i="12" a="1"/>
  <c r="O11" i="12" a="1"/>
  <c r="K5" i="12" a="1"/>
  <c r="K3" i="12" a="1"/>
  <c r="Q30" i="12" a="1"/>
  <c r="G34" i="12" a="1"/>
  <c r="G22" i="12" a="1"/>
  <c r="F10" i="12" a="1"/>
  <c r="E4" i="12" a="1"/>
  <c r="H12" i="39" a="1"/>
  <c r="K23" i="28" a="1"/>
  <c r="L17" i="28" a="1"/>
  <c r="K6" i="28" a="1"/>
  <c r="G20" i="28" a="1"/>
  <c r="E16" i="28" a="1"/>
  <c r="I28" i="1" a="1"/>
  <c r="J17" i="1" a="1"/>
  <c r="C16" i="43" a="1"/>
  <c r="I20" i="42" a="1"/>
  <c r="I16" i="42" a="1"/>
  <c r="G9" i="42" a="1"/>
  <c r="I5" i="42" a="1"/>
  <c r="T3" i="18" a="1"/>
  <c r="O2" i="15" a="1"/>
  <c r="L2" i="5" a="1"/>
  <c r="M2" i="46" a="1"/>
  <c r="E7" i="52" a="1"/>
  <c r="V14" i="56" a="1"/>
  <c r="V9" i="56" a="1"/>
  <c r="G16" i="56" a="1"/>
  <c r="N9" i="12" a="1"/>
  <c r="J8" i="39" a="1"/>
  <c r="K15" i="1" a="1"/>
  <c r="J4" i="39" a="1"/>
  <c r="J12" i="42" a="1"/>
  <c r="E9" i="42" a="1"/>
  <c r="P3" i="18" a="1"/>
  <c r="M2" i="7" a="1"/>
  <c r="M2" i="47" a="1"/>
  <c r="C12" i="52" a="1"/>
  <c r="H9" i="52" a="1"/>
  <c r="G4" i="52" a="1"/>
  <c r="T24" i="56" a="1"/>
  <c r="U19" i="56" a="1"/>
  <c r="T9" i="56" a="1"/>
  <c r="I25" i="56" a="1"/>
  <c r="J20" i="56" a="1"/>
  <c r="G11" i="56" a="1"/>
  <c r="J5" i="56" a="1"/>
  <c r="M22" i="12" a="1"/>
  <c r="L20" i="12" a="1"/>
  <c r="P15" i="12" a="1"/>
  <c r="O13" i="12" a="1"/>
  <c r="M7" i="12" a="1"/>
  <c r="F22" i="12" a="1"/>
  <c r="F16" i="12" a="1"/>
  <c r="E10" i="12" a="1"/>
  <c r="E7" i="28" a="1"/>
  <c r="J3" i="1" a="1"/>
  <c r="H28" i="1" a="1"/>
  <c r="L22" i="1" a="1"/>
  <c r="I20" i="1" a="1"/>
  <c r="F18" i="1" a="1"/>
  <c r="G13" i="1" a="1"/>
  <c r="K22" i="1" a="1"/>
  <c r="F13" i="1" a="1"/>
  <c r="J10" i="1" a="1"/>
  <c r="K5" i="1" a="1"/>
  <c r="C17" i="55" a="1"/>
  <c r="D14" i="28" a="1"/>
  <c r="H20" i="42" a="1"/>
  <c r="H16" i="42" a="1"/>
  <c r="H5" i="42" a="1"/>
  <c r="N2" i="15" a="1"/>
  <c r="K2" i="5" a="1"/>
  <c r="L2" i="46" a="1"/>
  <c r="G9" i="52" a="1"/>
  <c r="D7" i="52" a="1"/>
  <c r="U14" i="56" a="1"/>
  <c r="J15" i="56" a="1"/>
  <c r="J10" i="56" a="1"/>
  <c r="K20" i="12" a="1"/>
  <c r="S17" i="12" a="1"/>
  <c r="N11" i="12" a="1"/>
  <c r="M9" i="12" a="1"/>
  <c r="L7" i="12" a="1"/>
  <c r="S4" i="12" a="1"/>
  <c r="R34" i="12" a="1"/>
  <c r="P30" i="12" a="1"/>
  <c r="F34" i="12" a="1"/>
  <c r="G3" i="12" a="1"/>
  <c r="J7" i="39" a="1"/>
  <c r="H11" i="39" a="1"/>
  <c r="F15" i="39" a="1"/>
  <c r="M22" i="28" a="1"/>
  <c r="K17" i="28" a="1"/>
  <c r="L11" i="28" a="1"/>
  <c r="M5" i="28" a="1"/>
  <c r="H19" i="28" a="1"/>
  <c r="G11" i="28" a="1"/>
  <c r="E26" i="28" a="1"/>
  <c r="D16" i="28" a="1"/>
  <c r="O15" i="1" a="1"/>
  <c r="K10" i="1" a="1"/>
  <c r="H8" i="1" a="1"/>
  <c r="L5" i="1" a="1"/>
  <c r="C18" i="55" a="1"/>
  <c r="G28" i="1" a="1"/>
  <c r="H20" i="1" a="1"/>
  <c r="L17" i="1" a="1"/>
  <c r="G8" i="1" a="1"/>
  <c r="L11" i="12" a="1"/>
  <c r="G8" i="12" a="1"/>
  <c r="F12" i="39" a="1"/>
  <c r="E22" i="28" a="1"/>
  <c r="I12" i="42" a="1"/>
  <c r="C9" i="42" a="1"/>
  <c r="M2" i="15" a="1"/>
  <c r="K2" i="7" a="1"/>
  <c r="L2" i="47" a="1"/>
  <c r="J11" i="52" a="1"/>
  <c r="C7" i="52" a="1"/>
  <c r="F4" i="52" a="1"/>
  <c r="S24" i="56" a="1"/>
  <c r="T19" i="56" a="1"/>
  <c r="S9" i="56" a="1"/>
  <c r="H25" i="56" a="1"/>
  <c r="I20" i="56" a="1"/>
  <c r="H10" i="56" a="1"/>
  <c r="I5" i="56" a="1"/>
  <c r="L22" i="12" a="1"/>
  <c r="R17" i="12" a="1"/>
  <c r="O15" i="12" a="1"/>
  <c r="N13" i="12" a="1"/>
  <c r="K7" i="12" a="1"/>
  <c r="E22" i="12" a="1"/>
  <c r="E16" i="12" a="1"/>
  <c r="G9" i="12" a="1"/>
  <c r="E15" i="28" a="1"/>
  <c r="D7" i="28" a="1"/>
  <c r="I3" i="1" a="1"/>
  <c r="F9" i="12" a="1"/>
  <c r="H10" i="39" a="1"/>
  <c r="M15" i="12" a="1"/>
  <c r="F20" i="1" a="1"/>
  <c r="G15" i="1" a="1"/>
  <c r="G19" i="43" a="1"/>
  <c r="C10" i="43" a="1"/>
  <c r="G5" i="42" a="1"/>
  <c r="N3" i="18" a="1"/>
  <c r="J2" i="5" a="1"/>
  <c r="J2" i="47" a="1"/>
  <c r="K2" i="46" a="1"/>
  <c r="F9" i="52" a="1"/>
  <c r="J6" i="52" a="1"/>
  <c r="S19" i="56" a="1"/>
  <c r="T14" i="56" a="1"/>
  <c r="I15" i="56" a="1"/>
  <c r="S19" i="12" a="1"/>
  <c r="Q17" i="12" a="1"/>
  <c r="M11" i="12" a="1"/>
  <c r="L9" i="12" a="1"/>
  <c r="R4" i="12" a="1"/>
  <c r="Q34" i="12" a="1"/>
  <c r="O30" i="12" a="1"/>
  <c r="E34" i="12" a="1"/>
  <c r="G15" i="12" a="1"/>
  <c r="F3" i="12" a="1"/>
  <c r="J6" i="39" a="1"/>
  <c r="F14" i="39" a="1"/>
  <c r="L22" i="28" a="1"/>
  <c r="M16" i="28" a="1"/>
  <c r="K11" i="28" a="1"/>
  <c r="L5" i="28" a="1"/>
  <c r="G19" i="28" a="1"/>
  <c r="H10" i="28" a="1"/>
  <c r="D26" i="28" a="1"/>
  <c r="E6" i="28" a="1"/>
  <c r="I15" i="1" a="1"/>
  <c r="R6" i="12" a="1"/>
  <c r="N17" i="12" a="1"/>
  <c r="J19" i="42" a="1"/>
  <c r="J15" i="42" a="1"/>
  <c r="H12" i="42" a="1"/>
  <c r="J8" i="42" a="1"/>
  <c r="E5" i="42" a="1"/>
  <c r="L2" i="15" a="1"/>
  <c r="J2" i="7" a="1"/>
  <c r="H2" i="47" a="1"/>
  <c r="I11" i="52" a="1"/>
  <c r="H6" i="52" a="1"/>
  <c r="E4" i="52" a="1"/>
  <c r="V23" i="56" a="1"/>
  <c r="S14" i="56" a="1"/>
  <c r="V8" i="56" a="1"/>
  <c r="G25" i="56" a="1"/>
  <c r="H20" i="56" a="1"/>
  <c r="G10" i="56" a="1"/>
  <c r="H5" i="56" a="1"/>
  <c r="K22" i="12" a="1"/>
  <c r="O17" i="12" a="1"/>
  <c r="N15" i="12" a="1"/>
  <c r="M13" i="12" a="1"/>
  <c r="G33" i="12" a="1"/>
  <c r="G21" i="12" a="1"/>
  <c r="F15" i="12" a="1"/>
  <c r="E23" i="28" a="1"/>
  <c r="D15" i="28" a="1"/>
  <c r="H3" i="1" a="1"/>
  <c r="L13" i="12" a="1"/>
  <c r="S8" i="12" a="1"/>
  <c r="M3" i="18" a="1"/>
  <c r="I2" i="5" a="1"/>
  <c r="I2" i="7" a="1"/>
  <c r="J2" i="46" a="1"/>
  <c r="E9" i="52" a="1"/>
  <c r="V18" i="56" a="1"/>
  <c r="V13" i="56" a="1"/>
  <c r="G20" i="56" a="1"/>
  <c r="H15" i="56" a="1"/>
  <c r="R19" i="12" a="1"/>
  <c r="K9" i="12" a="1"/>
  <c r="Q4" i="12" a="1"/>
  <c r="P34" i="12" a="1"/>
  <c r="M34" i="12" a="1"/>
  <c r="E9" i="12" a="1"/>
  <c r="E3" i="12" a="1"/>
  <c r="J5" i="39" a="1"/>
  <c r="H9" i="39" a="1"/>
  <c r="F13" i="39" a="1"/>
  <c r="K22" i="28" a="1"/>
  <c r="L16" i="28" a="1"/>
  <c r="M10" i="28" a="1"/>
  <c r="K5" i="28" a="1"/>
  <c r="H18" i="28" a="1"/>
  <c r="G10" i="28" a="1"/>
  <c r="E14" i="28" a="1"/>
  <c r="D6" i="28" a="1"/>
  <c r="F28" i="1" a="1"/>
  <c r="J22" i="1" a="1"/>
  <c r="G20" i="1" a="1"/>
  <c r="K17" i="1" a="1"/>
  <c r="H15" i="1" a="1"/>
  <c r="L12" i="1" a="1"/>
  <c r="I10" i="1" a="1"/>
  <c r="F8" i="1" a="1"/>
  <c r="C16" i="55" a="1"/>
  <c r="T13" i="56" a="1"/>
  <c r="U8" i="56" a="1"/>
  <c r="J24" i="56" a="1"/>
  <c r="G15" i="56" a="1"/>
  <c r="J9" i="56" a="1"/>
  <c r="G5" i="56" a="1"/>
  <c r="S21" i="12" a="1"/>
  <c r="K11" i="12" a="1"/>
  <c r="Q6" i="12" a="1"/>
  <c r="F33" i="12" a="1"/>
  <c r="F21" i="12" a="1"/>
  <c r="K16" i="28" a="1"/>
  <c r="C8" i="43" a="1"/>
  <c r="I19" i="42" a="1"/>
  <c r="I15" i="42" a="1"/>
  <c r="I8" i="42" a="1"/>
  <c r="C5" i="42" a="1"/>
  <c r="K2" i="15" a="1"/>
  <c r="G2" i="47" a="1"/>
  <c r="H11" i="52" a="1"/>
  <c r="G6" i="52" a="1"/>
  <c r="D4" i="52" a="1"/>
  <c r="U23" i="56" a="1"/>
  <c r="M21" i="28" a="1"/>
  <c r="G18" i="28" a="1"/>
  <c r="G15" i="43" a="1"/>
  <c r="J11" i="42" a="1"/>
  <c r="L3" i="18" a="1"/>
  <c r="H2" i="5" a="1"/>
  <c r="H2" i="7" a="1"/>
  <c r="I2" i="46" a="1"/>
  <c r="G11" i="52" a="1"/>
  <c r="D9" i="52" a="1"/>
  <c r="U18" i="56" a="1"/>
  <c r="J19" i="56" a="1"/>
  <c r="J14" i="56" a="1"/>
  <c r="R21" i="12" a="1"/>
  <c r="Q19" i="12" a="1"/>
  <c r="R8" i="12" a="1"/>
  <c r="P4" i="12" a="1"/>
  <c r="O34" i="12" a="1"/>
  <c r="L34" i="12" a="1"/>
  <c r="E21" i="12" a="1"/>
  <c r="G14" i="12" a="1"/>
  <c r="J23" i="42" a="1"/>
  <c r="H19" i="42" a="1"/>
  <c r="H15" i="42" a="1"/>
  <c r="H8" i="42" a="1"/>
  <c r="J4" i="42" a="1"/>
  <c r="J2" i="15" a="1"/>
  <c r="F2" i="47" a="1"/>
  <c r="C9" i="52" a="1"/>
  <c r="F6" i="52" a="1"/>
  <c r="C4" i="52" a="1"/>
  <c r="T23" i="56" a="1"/>
  <c r="S13" i="56" a="1"/>
  <c r="T8" i="56" a="1"/>
  <c r="I24" i="56" a="1"/>
  <c r="H14" i="56" a="1"/>
  <c r="I9" i="56" a="1"/>
  <c r="S23" i="12" a="1"/>
  <c r="P19" i="12" a="1"/>
  <c r="M17" i="12" a="1"/>
  <c r="L15" i="12" a="1"/>
  <c r="K13" i="12" a="1"/>
  <c r="S10" i="12" a="1"/>
  <c r="P6" i="12" a="1"/>
  <c r="K34" i="12" a="1"/>
  <c r="E33" i="12" a="1"/>
  <c r="G20" i="12" a="1"/>
  <c r="H17" i="28" a="1"/>
  <c r="G9" i="28" a="1"/>
  <c r="F3" i="1" a="1"/>
  <c r="G10" i="1" a="1"/>
  <c r="G5" i="1" a="1"/>
  <c r="I11" i="42" a="1"/>
  <c r="K3" i="18" a="1"/>
  <c r="F2" i="15" a="1"/>
  <c r="G2" i="5" a="1"/>
  <c r="G2" i="7" a="1"/>
  <c r="H2" i="46" a="1"/>
  <c r="F11" i="52" a="1"/>
  <c r="J8" i="52" a="1"/>
  <c r="S23" i="56" a="1"/>
  <c r="T18" i="56" a="1"/>
  <c r="I19" i="56" a="1"/>
  <c r="Q21" i="12" a="1"/>
  <c r="O19" i="12" a="1"/>
  <c r="S12" i="12" a="1"/>
  <c r="P8" i="12" a="1"/>
  <c r="O4" i="12" a="1"/>
  <c r="R33" i="12" a="1"/>
  <c r="F14" i="12" a="1"/>
  <c r="F8" i="12" a="1"/>
  <c r="J21" i="39" a="1"/>
  <c r="J3" i="39" a="1"/>
  <c r="H7" i="39" a="1"/>
  <c r="F11" i="39" a="1"/>
  <c r="L21" i="28" a="1"/>
  <c r="M15" i="28" a="1"/>
  <c r="K10" i="28" a="1"/>
  <c r="L4" i="28" a="1"/>
  <c r="H8" i="28" a="1"/>
  <c r="D22" i="28" a="1"/>
  <c r="E13" i="28" a="1"/>
  <c r="D5" i="28" a="1"/>
  <c r="K27" i="1" a="1"/>
  <c r="H22" i="1" a="1"/>
  <c r="L19" i="1" a="1"/>
  <c r="I17" i="1" a="1"/>
  <c r="F15" i="1" a="1"/>
  <c r="J12" i="1" a="1"/>
  <c r="K7" i="1" a="1"/>
  <c r="H5" i="1" a="1"/>
  <c r="C14" i="55" a="1"/>
  <c r="E19" i="42" a="1"/>
  <c r="E15" i="42" a="1"/>
  <c r="I4" i="42" a="1"/>
  <c r="I3" i="18" a="1"/>
  <c r="E2" i="47" a="1"/>
  <c r="H8" i="52" a="1"/>
  <c r="E6" i="52" a="1"/>
  <c r="J3" i="52" a="1"/>
  <c r="S18" i="56" a="1"/>
  <c r="V12" i="56" a="1"/>
  <c r="S8" i="56" a="1"/>
  <c r="H24" i="56" a="1"/>
  <c r="G14" i="56" a="1"/>
  <c r="H9" i="56" a="1"/>
  <c r="R23" i="12" a="1"/>
  <c r="M19" i="12" a="1"/>
  <c r="L17" i="12" a="1"/>
  <c r="K15" i="12" a="1"/>
  <c r="R10" i="12" a="1"/>
  <c r="O6" i="12" a="1"/>
  <c r="M33" i="12" a="1"/>
  <c r="G32" i="12" a="1"/>
  <c r="F20" i="12" a="1"/>
  <c r="K4" i="28" a="1"/>
  <c r="G17" i="28" a="1"/>
  <c r="C13" i="55" a="1"/>
  <c r="G9" i="56" a="1"/>
  <c r="L19" i="12" a="1"/>
  <c r="K17" i="12" a="1"/>
  <c r="Q23" i="12" a="1"/>
  <c r="C23" i="55" a="1"/>
  <c r="S14" i="12" a="1"/>
  <c r="I16" i="1" a="1"/>
  <c r="C15" i="55" a="1"/>
  <c r="N6" i="12" a="1"/>
  <c r="I5" i="1" a="1"/>
  <c r="P10" i="12" a="1"/>
  <c r="L13" i="1" a="1"/>
  <c r="H21" i="1" a="1"/>
  <c r="H16" i="1" a="1"/>
  <c r="L18" i="1" a="1"/>
  <c r="H4" i="1" a="1"/>
  <c r="P33" i="12" a="1"/>
  <c r="L33" i="12" a="1"/>
  <c r="E32" i="12" a="1"/>
  <c r="K12" i="1" a="1"/>
  <c r="I11" i="1" a="1"/>
  <c r="J6" i="1" a="1"/>
  <c r="H10" i="1" a="1"/>
  <c r="F9" i="1" a="1"/>
  <c r="L7" i="1" a="1"/>
  <c r="L9" i="28" a="1"/>
  <c r="M3" i="28" a="1"/>
  <c r="I7" i="1" a="1"/>
  <c r="F5" i="1" a="1"/>
  <c r="F5" i="1" l="1"/>
  <c r="I7" i="1"/>
  <c r="M3" i="28"/>
  <c r="L9" i="28"/>
  <c r="L7" i="1"/>
  <c r="F9" i="1"/>
  <c r="H10" i="1"/>
  <c r="J6" i="1"/>
  <c r="I11" i="1"/>
  <c r="K12" i="1"/>
  <c r="E32" i="12"/>
  <c r="L33" i="12"/>
  <c r="P33" i="12"/>
  <c r="H4" i="1"/>
  <c r="L18" i="1"/>
  <c r="H16" i="1"/>
  <c r="H21" i="1"/>
  <c r="L13" i="1"/>
  <c r="P10" i="12"/>
  <c r="I5" i="1"/>
  <c r="N6" i="12"/>
  <c r="C15" i="55"/>
  <c r="I16" i="1"/>
  <c r="S14" i="12"/>
  <c r="C23" i="55"/>
  <c r="Q23" i="12"/>
  <c r="K17" i="12"/>
  <c r="L19" i="12"/>
  <c r="G9" i="56"/>
  <c r="C13" i="55"/>
  <c r="G17" i="28"/>
  <c r="K4" i="28"/>
  <c r="F20" i="12"/>
  <c r="G32" i="12"/>
  <c r="M33" i="12"/>
  <c r="O6" i="12"/>
  <c r="R10" i="12"/>
  <c r="K15" i="12"/>
  <c r="L17" i="12"/>
  <c r="M19" i="12"/>
  <c r="R23" i="12"/>
  <c r="H9" i="56"/>
  <c r="G14" i="56"/>
  <c r="H24" i="56"/>
  <c r="S8" i="56"/>
  <c r="V12" i="56"/>
  <c r="S18" i="56"/>
  <c r="J3" i="52"/>
  <c r="E6" i="52"/>
  <c r="H8" i="52"/>
  <c r="E2" i="47"/>
  <c r="I3" i="18"/>
  <c r="I4" i="42"/>
  <c r="E15" i="42"/>
  <c r="E19" i="42"/>
  <c r="C14" i="55"/>
  <c r="H5" i="1"/>
  <c r="K7" i="1"/>
  <c r="J12" i="1"/>
  <c r="F15" i="1"/>
  <c r="I17" i="1"/>
  <c r="L19" i="1"/>
  <c r="H22" i="1"/>
  <c r="K27" i="1"/>
  <c r="D5" i="28"/>
  <c r="E13" i="28"/>
  <c r="D22" i="28"/>
  <c r="H8" i="28"/>
  <c r="L4" i="28"/>
  <c r="K10" i="28"/>
  <c r="M15" i="28"/>
  <c r="L21" i="28"/>
  <c r="F11" i="39"/>
  <c r="H7" i="39"/>
  <c r="J3" i="39"/>
  <c r="J21" i="39"/>
  <c r="F8" i="12"/>
  <c r="F14" i="12"/>
  <c r="R33" i="12"/>
  <c r="O4" i="12"/>
  <c r="P8" i="12"/>
  <c r="S12" i="12"/>
  <c r="O19" i="12"/>
  <c r="Q21" i="12"/>
  <c r="I19" i="56"/>
  <c r="T18" i="56"/>
  <c r="S23" i="56"/>
  <c r="J8" i="52"/>
  <c r="F11" i="52"/>
  <c r="H2" i="46"/>
  <c r="G2" i="7"/>
  <c r="G2" i="5"/>
  <c r="F2" i="15"/>
  <c r="K3" i="18"/>
  <c r="I11" i="42"/>
  <c r="G5" i="1"/>
  <c r="G10" i="1"/>
  <c r="F3" i="1"/>
  <c r="G9" i="28"/>
  <c r="H17" i="28"/>
  <c r="G20" i="12"/>
  <c r="E33" i="12"/>
  <c r="K34" i="12"/>
  <c r="P6" i="12"/>
  <c r="S10" i="12"/>
  <c r="K13" i="12"/>
  <c r="L15" i="12"/>
  <c r="M17" i="12"/>
  <c r="P19" i="12"/>
  <c r="S23" i="12"/>
  <c r="I9" i="56"/>
  <c r="H14" i="56"/>
  <c r="I24" i="56"/>
  <c r="T8" i="56"/>
  <c r="S13" i="56"/>
  <c r="T23" i="56"/>
  <c r="C4" i="52"/>
  <c r="F6" i="52"/>
  <c r="C9" i="52"/>
  <c r="F2" i="47"/>
  <c r="J2" i="15"/>
  <c r="J4" i="42"/>
  <c r="H8" i="42"/>
  <c r="H15" i="42"/>
  <c r="H19" i="42"/>
  <c r="J23" i="42"/>
  <c r="G14" i="12"/>
  <c r="E21" i="12"/>
  <c r="L34" i="12"/>
  <c r="O34" i="12"/>
  <c r="P4" i="12"/>
  <c r="R8" i="12"/>
  <c r="Q19" i="12"/>
  <c r="R21" i="12"/>
  <c r="J14" i="56"/>
  <c r="J19" i="56"/>
  <c r="U18" i="56"/>
  <c r="D9" i="52"/>
  <c r="G11" i="52"/>
  <c r="I2" i="46"/>
  <c r="H2" i="7"/>
  <c r="H2" i="5"/>
  <c r="L3" i="18"/>
  <c r="J11" i="42"/>
  <c r="G15" i="43"/>
  <c r="G18" i="28"/>
  <c r="M21" i="28"/>
  <c r="U23" i="56"/>
  <c r="D4" i="52"/>
  <c r="G6" i="52"/>
  <c r="H11" i="52"/>
  <c r="G2" i="47"/>
  <c r="K2" i="15"/>
  <c r="C5" i="42"/>
  <c r="I8" i="42"/>
  <c r="I15" i="42"/>
  <c r="I19" i="42"/>
  <c r="C8" i="43"/>
  <c r="K16" i="28"/>
  <c r="F21" i="12"/>
  <c r="F33" i="12"/>
  <c r="Q6" i="12"/>
  <c r="K11" i="12"/>
  <c r="S21" i="12"/>
  <c r="G5" i="56"/>
  <c r="J9" i="56"/>
  <c r="G15" i="56"/>
  <c r="J24" i="56"/>
  <c r="U8" i="56"/>
  <c r="T13" i="56"/>
  <c r="C16" i="55"/>
  <c r="F8" i="1"/>
  <c r="I10" i="1"/>
  <c r="L12" i="1"/>
  <c r="H15" i="1"/>
  <c r="K17" i="1"/>
  <c r="G20" i="1"/>
  <c r="J22" i="1"/>
  <c r="F28" i="1"/>
  <c r="D6" i="28"/>
  <c r="E14" i="28"/>
  <c r="G10" i="28"/>
  <c r="H18" i="28"/>
  <c r="K5" i="28"/>
  <c r="M10" i="28"/>
  <c r="L16" i="28"/>
  <c r="K22" i="28"/>
  <c r="F13" i="39"/>
  <c r="H9" i="39"/>
  <c r="J5" i="39"/>
  <c r="E3" i="12"/>
  <c r="E9" i="12"/>
  <c r="M34" i="12"/>
  <c r="P34" i="12"/>
  <c r="Q4" i="12"/>
  <c r="K9" i="12"/>
  <c r="R19" i="12"/>
  <c r="H15" i="56"/>
  <c r="G20" i="56"/>
  <c r="V13" i="56"/>
  <c r="V18" i="56"/>
  <c r="E9" i="52"/>
  <c r="J2" i="46"/>
  <c r="I2" i="7"/>
  <c r="I2" i="5"/>
  <c r="M3" i="18"/>
  <c r="S8" i="12"/>
  <c r="L13" i="12"/>
  <c r="H3" i="1"/>
  <c r="D15" i="28"/>
  <c r="E23" i="28"/>
  <c r="F15" i="12"/>
  <c r="G21" i="12"/>
  <c r="G33" i="12"/>
  <c r="M13" i="12"/>
  <c r="N15" i="12"/>
  <c r="O17" i="12"/>
  <c r="K22" i="12"/>
  <c r="H5" i="56"/>
  <c r="G10" i="56"/>
  <c r="H20" i="56"/>
  <c r="G25" i="56"/>
  <c r="V8" i="56"/>
  <c r="S14" i="56"/>
  <c r="V23" i="56"/>
  <c r="E4" i="52"/>
  <c r="H6" i="52"/>
  <c r="I11" i="52"/>
  <c r="H2" i="47"/>
  <c r="J2" i="7"/>
  <c r="L2" i="15"/>
  <c r="E5" i="42"/>
  <c r="J8" i="42"/>
  <c r="H12" i="42"/>
  <c r="J15" i="42"/>
  <c r="J19" i="42"/>
  <c r="N17" i="12"/>
  <c r="R6" i="12"/>
  <c r="I15" i="1"/>
  <c r="E6" i="28"/>
  <c r="D26" i="28"/>
  <c r="H10" i="28"/>
  <c r="G19" i="28"/>
  <c r="L5" i="28"/>
  <c r="K11" i="28"/>
  <c r="M16" i="28"/>
  <c r="L22" i="28"/>
  <c r="F14" i="39"/>
  <c r="J6" i="39"/>
  <c r="F3" i="12"/>
  <c r="G15" i="12"/>
  <c r="E34" i="12"/>
  <c r="O30" i="12"/>
  <c r="Q34" i="12"/>
  <c r="R4" i="12"/>
  <c r="L9" i="12"/>
  <c r="M11" i="12"/>
  <c r="Q17" i="12"/>
  <c r="S19" i="12"/>
  <c r="I15" i="56"/>
  <c r="T14" i="56"/>
  <c r="S19" i="56"/>
  <c r="J6" i="52"/>
  <c r="F9" i="52"/>
  <c r="K2" i="46"/>
  <c r="J2" i="47"/>
  <c r="J2" i="5"/>
  <c r="N3" i="18"/>
  <c r="G5" i="42"/>
  <c r="C10" i="43"/>
  <c r="G19" i="43"/>
  <c r="G15" i="1"/>
  <c r="F20" i="1"/>
  <c r="M15" i="12"/>
  <c r="H10" i="39"/>
  <c r="F9" i="12"/>
  <c r="I3" i="1"/>
  <c r="D7" i="28"/>
  <c r="E15" i="28"/>
  <c r="G9" i="12"/>
  <c r="E16" i="12"/>
  <c r="E22" i="12"/>
  <c r="K7" i="12"/>
  <c r="N13" i="12"/>
  <c r="O15" i="12"/>
  <c r="R17" i="12"/>
  <c r="L22" i="12"/>
  <c r="I5" i="56"/>
  <c r="H10" i="56"/>
  <c r="I20" i="56"/>
  <c r="H25" i="56"/>
  <c r="S9" i="56"/>
  <c r="T19" i="56"/>
  <c r="S24" i="56"/>
  <c r="F4" i="52"/>
  <c r="C7" i="52"/>
  <c r="J11" i="52"/>
  <c r="L2" i="47"/>
  <c r="K2" i="7"/>
  <c r="M2" i="15"/>
  <c r="C9" i="42"/>
  <c r="I12" i="42"/>
  <c r="E22" i="28"/>
  <c r="F12" i="39"/>
  <c r="G8" i="12"/>
  <c r="L11" i="12"/>
  <c r="G8" i="1"/>
  <c r="L17" i="1"/>
  <c r="H20" i="1"/>
  <c r="G28" i="1"/>
  <c r="C18" i="55"/>
  <c r="L5" i="1"/>
  <c r="H8" i="1"/>
  <c r="K10" i="1"/>
  <c r="O15" i="1"/>
  <c r="D16" i="28"/>
  <c r="E26" i="28"/>
  <c r="G11" i="28"/>
  <c r="H19" i="28"/>
  <c r="M5" i="28"/>
  <c r="L11" i="28"/>
  <c r="K17" i="28"/>
  <c r="M22" i="28"/>
  <c r="F15" i="39"/>
  <c r="H11" i="39"/>
  <c r="J7" i="39"/>
  <c r="G3" i="12"/>
  <c r="F34" i="12"/>
  <c r="P30" i="12"/>
  <c r="R34" i="12"/>
  <c r="S4" i="12"/>
  <c r="L7" i="12"/>
  <c r="M9" i="12"/>
  <c r="N11" i="12"/>
  <c r="S17" i="12"/>
  <c r="K20" i="12"/>
  <c r="J10" i="56"/>
  <c r="J15" i="56"/>
  <c r="U14" i="56"/>
  <c r="D7" i="52"/>
  <c r="G9" i="52"/>
  <c r="L2" i="46"/>
  <c r="K2" i="5"/>
  <c r="N2" i="15"/>
  <c r="H5" i="42"/>
  <c r="H16" i="42"/>
  <c r="H20" i="42"/>
  <c r="D14" i="28"/>
  <c r="C17" i="55"/>
  <c r="K5" i="1"/>
  <c r="J10" i="1"/>
  <c r="F13" i="1"/>
  <c r="K22" i="1"/>
  <c r="G13" i="1"/>
  <c r="F18" i="1"/>
  <c r="I20" i="1"/>
  <c r="L22" i="1"/>
  <c r="H28" i="1"/>
  <c r="J3" i="1"/>
  <c r="E7" i="28"/>
  <c r="E10" i="12"/>
  <c r="F16" i="12"/>
  <c r="F22" i="12"/>
  <c r="M7" i="12"/>
  <c r="O13" i="12"/>
  <c r="P15" i="12"/>
  <c r="L20" i="12"/>
  <c r="M22" i="12"/>
  <c r="J5" i="56"/>
  <c r="G11" i="56"/>
  <c r="J20" i="56"/>
  <c r="I25" i="56"/>
  <c r="T9" i="56"/>
  <c r="U19" i="56"/>
  <c r="T24" i="56"/>
  <c r="G4" i="52"/>
  <c r="H9" i="52"/>
  <c r="C12" i="52"/>
  <c r="M2" i="47"/>
  <c r="M2" i="7"/>
  <c r="P3" i="18"/>
  <c r="E9" i="42"/>
  <c r="J12" i="42"/>
  <c r="J4" i="39"/>
  <c r="K15" i="1"/>
  <c r="J8" i="39"/>
  <c r="N9" i="12"/>
  <c r="G16" i="56"/>
  <c r="V9" i="56"/>
  <c r="V14" i="56"/>
  <c r="E7" i="52"/>
  <c r="M2" i="46"/>
  <c r="L2" i="5"/>
  <c r="O2" i="15"/>
  <c r="T3" i="18"/>
  <c r="I5" i="42"/>
  <c r="G9" i="42"/>
  <c r="I16" i="42"/>
  <c r="I20" i="42"/>
  <c r="C16" i="43"/>
  <c r="J17" i="1"/>
  <c r="I28" i="1"/>
  <c r="E16" i="28"/>
  <c r="G20" i="28"/>
  <c r="K6" i="28"/>
  <c r="L17" i="28"/>
  <c r="K23" i="28"/>
  <c r="H12" i="39"/>
  <c r="E4" i="12"/>
  <c r="F10" i="12"/>
  <c r="G22" i="12"/>
  <c r="G34" i="12"/>
  <c r="Q30" i="12"/>
  <c r="K3" i="12"/>
  <c r="K5" i="12"/>
  <c r="O11" i="12"/>
  <c r="K18" i="12"/>
  <c r="H11" i="56"/>
  <c r="K3" i="1"/>
  <c r="J28" i="1"/>
  <c r="F4" i="12"/>
  <c r="G10" i="12"/>
  <c r="G16" i="12"/>
  <c r="N7" i="12"/>
  <c r="O9" i="12"/>
  <c r="P13" i="12"/>
  <c r="Q15" i="12"/>
  <c r="M20" i="12"/>
  <c r="N22" i="12"/>
  <c r="G6" i="56"/>
  <c r="H16" i="56"/>
  <c r="G21" i="56"/>
  <c r="J25" i="56"/>
  <c r="S10" i="56"/>
  <c r="V19" i="56"/>
  <c r="U24" i="56"/>
  <c r="H4" i="52"/>
  <c r="I9" i="52"/>
  <c r="D12" i="52"/>
  <c r="N2" i="47"/>
  <c r="N2" i="7"/>
  <c r="P2" i="5"/>
  <c r="Q2" i="15"/>
  <c r="C13" i="42"/>
  <c r="I22" i="1"/>
  <c r="E5" i="28"/>
  <c r="J8" i="1"/>
  <c r="F11" i="1"/>
  <c r="I13" i="1"/>
  <c r="H18" i="1"/>
  <c r="G23" i="1"/>
  <c r="D17" i="28"/>
  <c r="H3" i="28"/>
  <c r="G12" i="28"/>
  <c r="H20" i="28"/>
  <c r="L6" i="28"/>
  <c r="K12" i="28"/>
  <c r="M17" i="28"/>
  <c r="L23" i="28"/>
  <c r="F17" i="39"/>
  <c r="H13" i="39"/>
  <c r="J9" i="39"/>
  <c r="E23" i="12"/>
  <c r="K30" i="12"/>
  <c r="R30" i="12"/>
  <c r="L3" i="12"/>
  <c r="M5" i="12"/>
  <c r="P11" i="12"/>
  <c r="S15" i="12"/>
  <c r="L18" i="12"/>
  <c r="I11" i="56"/>
  <c r="T10" i="56"/>
  <c r="S15" i="56"/>
  <c r="J4" i="52"/>
  <c r="F7" i="52"/>
  <c r="N2" i="46"/>
  <c r="U3" i="18"/>
  <c r="J5" i="42"/>
  <c r="H9" i="42"/>
  <c r="J16" i="42"/>
  <c r="J20" i="42"/>
  <c r="G3" i="1"/>
  <c r="L10" i="1"/>
  <c r="G18" i="1"/>
  <c r="F23" i="1"/>
  <c r="D8" i="28"/>
  <c r="G3" i="28"/>
  <c r="M11" i="28"/>
  <c r="C20" i="55"/>
  <c r="E8" i="28"/>
  <c r="H23" i="1"/>
  <c r="P9" i="12"/>
  <c r="Q13" i="12"/>
  <c r="K16" i="12"/>
  <c r="O22" i="12"/>
  <c r="H6" i="56"/>
  <c r="I16" i="56"/>
  <c r="H21" i="56"/>
  <c r="S5" i="56"/>
  <c r="T15" i="56"/>
  <c r="S20" i="56"/>
  <c r="V24" i="56"/>
  <c r="C5" i="52"/>
  <c r="J9" i="52"/>
  <c r="E12" i="52"/>
  <c r="P2" i="46"/>
  <c r="O2" i="47"/>
  <c r="O2" i="7"/>
  <c r="Q2" i="5"/>
  <c r="R2" i="15"/>
  <c r="E13" i="42"/>
  <c r="C18" i="43"/>
  <c r="O12" i="1"/>
  <c r="M4" i="28"/>
  <c r="J22" i="39"/>
  <c r="D23" i="28"/>
  <c r="I8" i="1"/>
  <c r="H11" i="28"/>
  <c r="F16" i="39"/>
  <c r="G6" i="1"/>
  <c r="L15" i="1"/>
  <c r="K20" i="1"/>
  <c r="L3" i="1"/>
  <c r="K28" i="1"/>
  <c r="G4" i="12"/>
  <c r="E11" i="12"/>
  <c r="E17" i="12"/>
  <c r="N5" i="12"/>
  <c r="O7" i="12"/>
  <c r="N20" i="12"/>
  <c r="C21" i="55"/>
  <c r="H6" i="1"/>
  <c r="K8" i="1"/>
  <c r="G11" i="1"/>
  <c r="J13" i="1"/>
  <c r="F16" i="1"/>
  <c r="I18" i="1"/>
  <c r="L20" i="1"/>
  <c r="L28" i="1"/>
  <c r="D9" i="28"/>
  <c r="E17" i="28"/>
  <c r="G4" i="28"/>
  <c r="H12" i="28"/>
  <c r="G21" i="28"/>
  <c r="M6" i="28"/>
  <c r="L12" i="28"/>
  <c r="K18" i="28"/>
  <c r="M23" i="28"/>
  <c r="F18" i="39"/>
  <c r="H14" i="39"/>
  <c r="J10" i="39"/>
  <c r="E5" i="12"/>
  <c r="F17" i="12"/>
  <c r="F23" i="12"/>
  <c r="L30" i="12"/>
  <c r="O31" i="12"/>
  <c r="M3" i="12"/>
  <c r="O5" i="12"/>
  <c r="Q11" i="12"/>
  <c r="L16" i="12"/>
  <c r="M18" i="12"/>
  <c r="J6" i="56"/>
  <c r="J11" i="56"/>
  <c r="U10" i="56"/>
  <c r="D5" i="52"/>
  <c r="G7" i="52"/>
  <c r="R2" i="46"/>
  <c r="P2" i="47"/>
  <c r="V3" i="18"/>
  <c r="I9" i="42"/>
  <c r="G13" i="42"/>
  <c r="C19" i="55"/>
  <c r="F4" i="1"/>
  <c r="I23" i="1"/>
  <c r="J11" i="39"/>
  <c r="F5" i="12"/>
  <c r="F11" i="12"/>
  <c r="N3" i="12"/>
  <c r="P7" i="12"/>
  <c r="Q9" i="12"/>
  <c r="R13" i="12"/>
  <c r="N18" i="12"/>
  <c r="O20" i="12"/>
  <c r="P22" i="12"/>
  <c r="G7" i="56"/>
  <c r="J16" i="56"/>
  <c r="I21" i="56"/>
  <c r="T5" i="56"/>
  <c r="U15" i="56"/>
  <c r="T20" i="56"/>
  <c r="S25" i="56"/>
  <c r="H7" i="52"/>
  <c r="C10" i="52"/>
  <c r="F12" i="52"/>
  <c r="P2" i="7"/>
  <c r="R2" i="5"/>
  <c r="S2" i="15"/>
  <c r="H6" i="42"/>
  <c r="E17" i="42"/>
  <c r="E21" i="42"/>
  <c r="G3" i="43"/>
  <c r="H8" i="39"/>
  <c r="H9" i="28"/>
  <c r="F6" i="1"/>
  <c r="F21" i="1"/>
  <c r="C22" i="55"/>
  <c r="I6" i="1"/>
  <c r="L8" i="1"/>
  <c r="H11" i="1"/>
  <c r="K13" i="1"/>
  <c r="E9" i="28"/>
  <c r="D18" i="28"/>
  <c r="H4" i="28"/>
  <c r="G13" i="28"/>
  <c r="H21" i="28"/>
  <c r="K7" i="28"/>
  <c r="M12" i="28"/>
  <c r="L18" i="28"/>
  <c r="F2" i="39"/>
  <c r="F19" i="39"/>
  <c r="H15" i="39"/>
  <c r="G17" i="12"/>
  <c r="G23" i="12"/>
  <c r="M30" i="12"/>
  <c r="P31" i="12"/>
  <c r="P5" i="12"/>
  <c r="Q7" i="12"/>
  <c r="R11" i="12"/>
  <c r="M16" i="12"/>
  <c r="H7" i="56"/>
  <c r="G12" i="56"/>
  <c r="V5" i="56"/>
  <c r="V10" i="56"/>
  <c r="E5" i="52"/>
  <c r="S2" i="46"/>
  <c r="Q2" i="47"/>
  <c r="C3" i="42"/>
  <c r="J9" i="42"/>
  <c r="H13" i="42"/>
  <c r="C4" i="9"/>
  <c r="L27" i="1"/>
  <c r="L10" i="28"/>
  <c r="E15" i="12"/>
  <c r="H13" i="1"/>
  <c r="J20" i="1"/>
  <c r="G16" i="1"/>
  <c r="G4" i="1"/>
  <c r="K18" i="1"/>
  <c r="G21" i="1"/>
  <c r="H16" i="39"/>
  <c r="J12" i="39"/>
  <c r="G5" i="12"/>
  <c r="G11" i="12"/>
  <c r="O3" i="12"/>
  <c r="R9" i="12"/>
  <c r="S13" i="12"/>
  <c r="O18" i="12"/>
  <c r="P20" i="12"/>
  <c r="Q22" i="12"/>
  <c r="H12" i="56"/>
  <c r="G17" i="56"/>
  <c r="J21" i="56"/>
  <c r="S6" i="56"/>
  <c r="V15" i="56"/>
  <c r="U20" i="56"/>
  <c r="T25" i="56"/>
  <c r="I7" i="52"/>
  <c r="D10" i="52"/>
  <c r="G12" i="52"/>
  <c r="Q2" i="7"/>
  <c r="S2" i="5"/>
  <c r="T2" i="15"/>
  <c r="I6" i="42"/>
  <c r="H17" i="42"/>
  <c r="H21" i="42"/>
  <c r="D4" i="9"/>
  <c r="K23" i="1"/>
  <c r="D10" i="28"/>
  <c r="G5" i="28"/>
  <c r="H13" i="28"/>
  <c r="G22" i="28"/>
  <c r="L7" i="28"/>
  <c r="K13" i="28"/>
  <c r="M18" i="28"/>
  <c r="F3" i="39"/>
  <c r="F20" i="39"/>
  <c r="J13" i="39"/>
  <c r="E12" i="12"/>
  <c r="E18" i="12"/>
  <c r="E30" i="12"/>
  <c r="K31" i="12"/>
  <c r="Q31" i="12"/>
  <c r="P3" i="12"/>
  <c r="Q5" i="12"/>
  <c r="R7" i="12"/>
  <c r="S11" i="12"/>
  <c r="L14" i="12"/>
  <c r="N16" i="12"/>
  <c r="I7" i="56"/>
  <c r="T6" i="56"/>
  <c r="S11" i="56"/>
  <c r="V25" i="56"/>
  <c r="F5" i="52"/>
  <c r="T2" i="46"/>
  <c r="S2" i="47"/>
  <c r="T2" i="5"/>
  <c r="E3" i="42"/>
  <c r="I13" i="42"/>
  <c r="G4" i="43"/>
  <c r="E4" i="9"/>
  <c r="J14" i="39"/>
  <c r="R22" i="12"/>
  <c r="H17" i="56"/>
  <c r="G22" i="56"/>
  <c r="T11" i="56"/>
  <c r="S16" i="56"/>
  <c r="V20" i="56"/>
  <c r="C3" i="52"/>
  <c r="J7" i="52"/>
  <c r="E10" i="52"/>
  <c r="H12" i="52"/>
  <c r="R2" i="7"/>
  <c r="U2" i="15"/>
  <c r="G3" i="42"/>
  <c r="J6" i="42"/>
  <c r="H10" i="42"/>
  <c r="I17" i="42"/>
  <c r="G4" i="9"/>
  <c r="P18" i="12"/>
  <c r="J11" i="1"/>
  <c r="I21" i="1"/>
  <c r="O22" i="1"/>
  <c r="G14" i="28"/>
  <c r="M7" i="28"/>
  <c r="L13" i="28"/>
  <c r="K19" i="28"/>
  <c r="S7" i="12"/>
  <c r="K12" i="12"/>
  <c r="N14" i="12"/>
  <c r="O16" i="12"/>
  <c r="K23" i="12"/>
  <c r="J7" i="56"/>
  <c r="U6" i="56"/>
  <c r="D3" i="52"/>
  <c r="G5" i="52"/>
  <c r="J12" i="52"/>
  <c r="U2" i="46"/>
  <c r="T2" i="47"/>
  <c r="T2" i="7"/>
  <c r="U2" i="5"/>
  <c r="J13" i="42"/>
  <c r="J21" i="42"/>
  <c r="J4" i="9"/>
  <c r="F21" i="39"/>
  <c r="H17" i="39"/>
  <c r="E6" i="12"/>
  <c r="S9" i="12"/>
  <c r="I12" i="56"/>
  <c r="F14" i="1"/>
  <c r="F19" i="1"/>
  <c r="L23" i="1"/>
  <c r="E10" i="28"/>
  <c r="D19" i="28"/>
  <c r="H5" i="28"/>
  <c r="H22" i="28"/>
  <c r="F4" i="39"/>
  <c r="H18" i="39"/>
  <c r="F12" i="12"/>
  <c r="F18" i="12"/>
  <c r="F30" i="12"/>
  <c r="L31" i="12"/>
  <c r="R5" i="12"/>
  <c r="I4" i="1"/>
  <c r="G14" i="1"/>
  <c r="J16" i="1"/>
  <c r="F5" i="39"/>
  <c r="F22" i="39"/>
  <c r="J15" i="39"/>
  <c r="F6" i="12"/>
  <c r="O32" i="12"/>
  <c r="R3" i="12"/>
  <c r="S5" i="12"/>
  <c r="K10" i="12"/>
  <c r="P16" i="12"/>
  <c r="Q18" i="12"/>
  <c r="R20" i="12"/>
  <c r="L23" i="12"/>
  <c r="J12" i="56"/>
  <c r="I17" i="56"/>
  <c r="H22" i="56"/>
  <c r="U11" i="56"/>
  <c r="T16" i="56"/>
  <c r="S21" i="56"/>
  <c r="H5" i="52"/>
  <c r="C8" i="52"/>
  <c r="F10" i="52"/>
  <c r="B2" i="46"/>
  <c r="V2" i="46"/>
  <c r="V2" i="7"/>
  <c r="V2" i="15"/>
  <c r="H3" i="42"/>
  <c r="C7" i="42"/>
  <c r="I10" i="42"/>
  <c r="J17" i="42"/>
  <c r="K4" i="9"/>
  <c r="Q20" i="12"/>
  <c r="H19" i="39"/>
  <c r="E3" i="52"/>
  <c r="U2" i="47"/>
  <c r="A2" i="15"/>
  <c r="D3" i="18"/>
  <c r="H22" i="42"/>
  <c r="G7" i="43"/>
  <c r="L4" i="9"/>
  <c r="L19" i="28"/>
  <c r="L12" i="12"/>
  <c r="O14" i="12"/>
  <c r="M19" i="28"/>
  <c r="J16" i="39"/>
  <c r="S3" i="12"/>
  <c r="K6" i="12"/>
  <c r="L10" i="12"/>
  <c r="R18" i="12"/>
  <c r="S20" i="12"/>
  <c r="H8" i="56"/>
  <c r="G13" i="56"/>
  <c r="J17" i="56"/>
  <c r="G23" i="56"/>
  <c r="V11" i="56"/>
  <c r="T21" i="56"/>
  <c r="I5" i="52"/>
  <c r="D8" i="52"/>
  <c r="G10" i="52"/>
  <c r="C2" i="46"/>
  <c r="A2" i="47"/>
  <c r="A2" i="5"/>
  <c r="I3" i="42"/>
  <c r="E7" i="42"/>
  <c r="J10" i="42"/>
  <c r="H14" i="42"/>
  <c r="R31" i="12"/>
  <c r="Q3" i="12"/>
  <c r="G19" i="1"/>
  <c r="J21" i="1"/>
  <c r="D11" i="28"/>
  <c r="M13" i="28"/>
  <c r="G30" i="12"/>
  <c r="V6" i="56"/>
  <c r="L11" i="1"/>
  <c r="H14" i="1"/>
  <c r="Q32" i="12"/>
  <c r="Q16" i="12"/>
  <c r="G27" i="1"/>
  <c r="D3" i="28"/>
  <c r="E11" i="28"/>
  <c r="D20" i="28"/>
  <c r="H6" i="28"/>
  <c r="G15" i="28"/>
  <c r="H23" i="28"/>
  <c r="L8" i="28"/>
  <c r="K14" i="28"/>
  <c r="F7" i="39"/>
  <c r="H3" i="39"/>
  <c r="H20" i="39"/>
  <c r="E7" i="12"/>
  <c r="E13" i="12"/>
  <c r="E19" i="12"/>
  <c r="E31" i="12"/>
  <c r="L8" i="12"/>
  <c r="N12" i="12"/>
  <c r="P14" i="12"/>
  <c r="N23" i="12"/>
  <c r="H23" i="56"/>
  <c r="S7" i="56"/>
  <c r="V21" i="56"/>
  <c r="F3" i="52"/>
  <c r="V2" i="47"/>
  <c r="B2" i="15"/>
  <c r="E3" i="18"/>
  <c r="G7" i="42"/>
  <c r="H18" i="42"/>
  <c r="S4" i="9"/>
  <c r="C24" i="55"/>
  <c r="K11" i="1"/>
  <c r="G23" i="28"/>
  <c r="G6" i="12"/>
  <c r="G12" i="12"/>
  <c r="G18" i="12"/>
  <c r="M31" i="12"/>
  <c r="P32" i="12"/>
  <c r="J22" i="56"/>
  <c r="J4" i="1"/>
  <c r="F6" i="39"/>
  <c r="U16" i="56"/>
  <c r="C10" i="55"/>
  <c r="C26" i="55"/>
  <c r="F7" i="1"/>
  <c r="I9" i="1"/>
  <c r="I14" i="1"/>
  <c r="L16" i="1"/>
  <c r="H19" i="1"/>
  <c r="K21" i="1"/>
  <c r="K4" i="1"/>
  <c r="J9" i="1"/>
  <c r="F12" i="1"/>
  <c r="L14" i="28"/>
  <c r="K20" i="28"/>
  <c r="J17" i="39"/>
  <c r="L32" i="12"/>
  <c r="R32" i="12"/>
  <c r="K4" i="12"/>
  <c r="L6" i="12"/>
  <c r="M10" i="12"/>
  <c r="O12" i="12"/>
  <c r="R16" i="12"/>
  <c r="S18" i="12"/>
  <c r="K21" i="12"/>
  <c r="I8" i="56"/>
  <c r="H13" i="56"/>
  <c r="G18" i="56"/>
  <c r="T7" i="56"/>
  <c r="S12" i="56"/>
  <c r="V16" i="56"/>
  <c r="S22" i="56"/>
  <c r="J5" i="52"/>
  <c r="E8" i="52"/>
  <c r="H10" i="52"/>
  <c r="D2" i="46"/>
  <c r="B2" i="47"/>
  <c r="B2" i="5"/>
  <c r="J3" i="42"/>
  <c r="C11" i="42"/>
  <c r="I14" i="42"/>
  <c r="J22" i="42"/>
  <c r="G8" i="43"/>
  <c r="U4" i="9"/>
  <c r="K6" i="1"/>
  <c r="C25" i="55"/>
  <c r="L6" i="1"/>
  <c r="G6" i="28"/>
  <c r="L20" i="28"/>
  <c r="F8" i="39"/>
  <c r="H4" i="39"/>
  <c r="J18" i="39"/>
  <c r="F13" i="12"/>
  <c r="F19" i="12"/>
  <c r="M32" i="12"/>
  <c r="P12" i="12"/>
  <c r="Q14" i="12"/>
  <c r="M21" i="12"/>
  <c r="O23" i="12"/>
  <c r="I23" i="56"/>
  <c r="T22" i="56"/>
  <c r="G3" i="52"/>
  <c r="J10" i="52"/>
  <c r="A2" i="7"/>
  <c r="C2" i="15"/>
  <c r="F3" i="18"/>
  <c r="H7" i="42"/>
  <c r="I18" i="42"/>
  <c r="W4" i="9"/>
  <c r="K8" i="28"/>
  <c r="K8" i="12"/>
  <c r="M23" i="12"/>
  <c r="G8" i="56"/>
  <c r="C11" i="55"/>
  <c r="G7" i="28"/>
  <c r="H15" i="28"/>
  <c r="M8" i="28"/>
  <c r="H21" i="39"/>
  <c r="F7" i="12"/>
  <c r="F31" i="12"/>
  <c r="L4" i="12"/>
  <c r="M8" i="12"/>
  <c r="L4" i="1"/>
  <c r="H7" i="1"/>
  <c r="K9" i="1"/>
  <c r="K9" i="28"/>
  <c r="M14" i="28"/>
  <c r="G31" i="12"/>
  <c r="K33" i="12"/>
  <c r="O33" i="12"/>
  <c r="M6" i="12"/>
  <c r="N10" i="12"/>
  <c r="R14" i="12"/>
  <c r="S16" i="12"/>
  <c r="K19" i="12"/>
  <c r="N21" i="12"/>
  <c r="J8" i="56"/>
  <c r="I13" i="56"/>
  <c r="H18" i="56"/>
  <c r="U7" i="56"/>
  <c r="T12" i="56"/>
  <c r="S17" i="56"/>
  <c r="H3" i="52"/>
  <c r="C6" i="52"/>
  <c r="F8" i="52"/>
  <c r="C11" i="52"/>
  <c r="E2" i="46"/>
  <c r="C2" i="47"/>
  <c r="C2" i="5"/>
  <c r="E11" i="42"/>
  <c r="J14" i="42"/>
  <c r="G11" i="43"/>
  <c r="AA4" i="9"/>
  <c r="M14" i="12"/>
  <c r="G9" i="1"/>
  <c r="C9" i="55"/>
  <c r="H9" i="1"/>
  <c r="K16" i="1"/>
  <c r="F27" i="1"/>
  <c r="E19" i="28"/>
  <c r="H14" i="28"/>
  <c r="H2" i="39"/>
  <c r="K32" i="12"/>
  <c r="C27" i="55"/>
  <c r="G7" i="1"/>
  <c r="G12" i="1"/>
  <c r="J14" i="1"/>
  <c r="F17" i="1"/>
  <c r="I19" i="1"/>
  <c r="L21" i="1"/>
  <c r="H27" i="1"/>
  <c r="E3" i="28"/>
  <c r="D12" i="28"/>
  <c r="E20" i="28"/>
  <c r="K3" i="28"/>
  <c r="C12" i="55"/>
  <c r="C28" i="55"/>
  <c r="L9" i="1"/>
  <c r="H12" i="1"/>
  <c r="K14" i="1"/>
  <c r="G17" i="1"/>
  <c r="J19" i="1"/>
  <c r="F22" i="1"/>
  <c r="I27" i="1"/>
  <c r="D4" i="28"/>
  <c r="E12" i="28"/>
  <c r="D21" i="28"/>
  <c r="H7" i="28"/>
  <c r="G16" i="28"/>
  <c r="L3" i="28"/>
  <c r="K15" i="28"/>
  <c r="M20" i="28"/>
  <c r="F9" i="39"/>
  <c r="H5" i="39"/>
  <c r="H22" i="39"/>
  <c r="J19" i="39"/>
  <c r="G7" i="12"/>
  <c r="G13" i="12"/>
  <c r="G19" i="12"/>
  <c r="M4" i="12"/>
  <c r="N8" i="12"/>
  <c r="Q12" i="12"/>
  <c r="O21" i="12"/>
  <c r="P23" i="12"/>
  <c r="J18" i="56"/>
  <c r="J23" i="56"/>
  <c r="U22" i="56"/>
  <c r="D11" i="52"/>
  <c r="F2" i="46"/>
  <c r="B2" i="7"/>
  <c r="D2" i="5"/>
  <c r="D2" i="15"/>
  <c r="G3" i="18"/>
  <c r="D4" i="42"/>
  <c r="I7" i="42"/>
  <c r="G11" i="42"/>
  <c r="J18" i="42"/>
  <c r="E23" i="42"/>
  <c r="AB4" i="9"/>
  <c r="J13" i="56"/>
  <c r="G19" i="56"/>
  <c r="V7" i="56"/>
  <c r="U12" i="56"/>
  <c r="T17" i="56"/>
  <c r="I3" i="52"/>
  <c r="D6" i="52"/>
  <c r="G8" i="52"/>
  <c r="D2" i="47"/>
  <c r="D2" i="7"/>
  <c r="H3" i="18"/>
  <c r="H4" i="42"/>
  <c r="C15" i="42"/>
  <c r="AK4" i="9"/>
  <c r="C29" i="55"/>
  <c r="F10" i="1"/>
  <c r="I12" i="1"/>
  <c r="L14" i="1"/>
  <c r="H17" i="1"/>
  <c r="K19" i="1"/>
  <c r="G22" i="1"/>
  <c r="J27" i="1"/>
  <c r="E4" i="28"/>
  <c r="D13" i="28"/>
  <c r="G8" i="28"/>
  <c r="H16" i="28"/>
  <c r="M9" i="28"/>
  <c r="L15" i="28"/>
  <c r="K21" i="28"/>
  <c r="F10" i="39"/>
  <c r="H6" i="39"/>
  <c r="J2" i="39"/>
  <c r="J20" i="39"/>
  <c r="E8" i="12"/>
  <c r="E14" i="12"/>
  <c r="E20" i="12"/>
  <c r="F32" i="12"/>
  <c r="Q33" i="12"/>
  <c r="N4" i="12"/>
  <c r="O8" i="12"/>
  <c r="Q10" i="12"/>
  <c r="R12" i="12"/>
  <c r="P21" i="12"/>
  <c r="H19" i="56"/>
  <c r="G24" i="56"/>
  <c r="V17" i="56"/>
  <c r="V22" i="56"/>
  <c r="E11" i="52"/>
  <c r="G2" i="46"/>
  <c r="F2" i="7"/>
  <c r="E2" i="5"/>
  <c r="E2" i="15"/>
  <c r="J7" i="42"/>
  <c r="H11" i="42"/>
  <c r="H23" i="42"/>
  <c r="G12" i="43"/>
  <c r="AM4" i="9"/>
  <c r="Q4" i="9"/>
  <c r="AG4" i="9"/>
  <c r="I2" i="38"/>
  <c r="A2" i="46"/>
  <c r="Q2" i="46"/>
  <c r="K2" i="47"/>
  <c r="E2" i="7"/>
  <c r="U2" i="7"/>
  <c r="O2" i="5"/>
  <c r="I2" i="15"/>
  <c r="C3" i="18"/>
  <c r="S3" i="18"/>
  <c r="G4" i="42"/>
  <c r="G6" i="42"/>
  <c r="G8" i="42"/>
  <c r="G10" i="42"/>
  <c r="G12" i="42"/>
  <c r="G14" i="42"/>
  <c r="G16" i="42"/>
  <c r="G18" i="42"/>
  <c r="G20" i="42"/>
  <c r="G22" i="42"/>
  <c r="C7" i="43"/>
  <c r="C23" i="43"/>
  <c r="H10" i="43"/>
  <c r="H18" i="43"/>
  <c r="B4" i="9"/>
  <c r="R4" i="9"/>
  <c r="AH4" i="9"/>
  <c r="J2" i="38"/>
  <c r="AI4" i="9"/>
  <c r="K2" i="38"/>
  <c r="I22" i="42"/>
  <c r="C9" i="43"/>
  <c r="H3" i="43"/>
  <c r="H11" i="43"/>
  <c r="H19" i="43"/>
  <c r="T4" i="9"/>
  <c r="AJ4" i="9"/>
  <c r="L2" i="38"/>
  <c r="G20" i="43"/>
  <c r="M2" i="38"/>
  <c r="C17" i="42"/>
  <c r="C19" i="42"/>
  <c r="C21" i="42"/>
  <c r="C23" i="42"/>
  <c r="C11" i="43"/>
  <c r="H4" i="43"/>
  <c r="H12" i="43"/>
  <c r="H20" i="43"/>
  <c r="F4" i="9"/>
  <c r="V4" i="9"/>
  <c r="AL4" i="9"/>
  <c r="N2" i="38"/>
  <c r="D3" i="42"/>
  <c r="D5" i="42"/>
  <c r="D7" i="42"/>
  <c r="D9" i="42"/>
  <c r="D11" i="42"/>
  <c r="D13" i="42"/>
  <c r="D15" i="42"/>
  <c r="D17" i="42"/>
  <c r="D19" i="42"/>
  <c r="D21" i="42"/>
  <c r="D23" i="42"/>
  <c r="C12" i="43"/>
  <c r="G5" i="43"/>
  <c r="G13" i="43"/>
  <c r="G21" i="43"/>
  <c r="O2" i="38"/>
  <c r="C13" i="43"/>
  <c r="H5" i="43"/>
  <c r="H13" i="43"/>
  <c r="H21" i="43"/>
  <c r="H4" i="9"/>
  <c r="X4" i="9"/>
  <c r="AN4" i="9"/>
  <c r="P2" i="38"/>
  <c r="R2" i="47"/>
  <c r="L2" i="7"/>
  <c r="F2" i="5"/>
  <c r="V2" i="5"/>
  <c r="P2" i="15"/>
  <c r="J3" i="18"/>
  <c r="F3" i="42"/>
  <c r="F5" i="42"/>
  <c r="F7" i="42"/>
  <c r="F9" i="42"/>
  <c r="F11" i="42"/>
  <c r="F13" i="42"/>
  <c r="F15" i="42"/>
  <c r="F17" i="42"/>
  <c r="F19" i="42"/>
  <c r="F21" i="42"/>
  <c r="F23" i="42"/>
  <c r="C14" i="43"/>
  <c r="G6" i="43"/>
  <c r="G14" i="43"/>
  <c r="G22" i="43"/>
  <c r="I4" i="9"/>
  <c r="Y4" i="9"/>
  <c r="A2" i="38"/>
  <c r="Q2" i="38"/>
  <c r="G15" i="42"/>
  <c r="G17" i="42"/>
  <c r="G19" i="42"/>
  <c r="G21" i="42"/>
  <c r="G23" i="42"/>
  <c r="C15" i="43"/>
  <c r="H6" i="43"/>
  <c r="H14" i="43"/>
  <c r="H22" i="43"/>
  <c r="Z4" i="9"/>
  <c r="B2" i="38"/>
  <c r="R2" i="38"/>
  <c r="G23" i="43"/>
  <c r="C2" i="38"/>
  <c r="S2" i="38"/>
  <c r="I21" i="42"/>
  <c r="I23" i="42"/>
  <c r="C17" i="43"/>
  <c r="H7" i="43"/>
  <c r="H15" i="43"/>
  <c r="H23" i="43"/>
  <c r="D2" i="38"/>
  <c r="T2" i="38"/>
  <c r="G16" i="43"/>
  <c r="A11" i="9"/>
  <c r="A10" i="9"/>
  <c r="A9" i="9"/>
  <c r="A8" i="9"/>
  <c r="A7" i="9"/>
  <c r="A6" i="9"/>
  <c r="A5" i="9"/>
  <c r="A13" i="9"/>
  <c r="A12" i="9"/>
  <c r="A4" i="9"/>
  <c r="M4" i="9"/>
  <c r="AC4" i="9"/>
  <c r="E2" i="38"/>
  <c r="U2" i="38"/>
  <c r="O3" i="18"/>
  <c r="C4" i="42"/>
  <c r="C6" i="42"/>
  <c r="C8" i="42"/>
  <c r="C10" i="42"/>
  <c r="C12" i="42"/>
  <c r="C14" i="42"/>
  <c r="C16" i="42"/>
  <c r="C18" i="42"/>
  <c r="C20" i="42"/>
  <c r="C22" i="42"/>
  <c r="C3" i="43"/>
  <c r="C19" i="43"/>
  <c r="H8" i="43"/>
  <c r="H16" i="43"/>
  <c r="N4" i="9"/>
  <c r="AD4" i="9"/>
  <c r="F2" i="38"/>
  <c r="V2" i="38"/>
  <c r="D6" i="42"/>
  <c r="D8" i="42"/>
  <c r="D10" i="42"/>
  <c r="D12" i="42"/>
  <c r="D14" i="42"/>
  <c r="D16" i="42"/>
  <c r="D18" i="42"/>
  <c r="D20" i="42"/>
  <c r="D22" i="42"/>
  <c r="C4" i="43"/>
  <c r="C20" i="43"/>
  <c r="G9" i="43"/>
  <c r="G17" i="43"/>
  <c r="O4" i="9"/>
  <c r="AE4" i="9"/>
  <c r="G2" i="38"/>
  <c r="J27" i="48"/>
  <c r="L5" i="12"/>
  <c r="S6" i="12"/>
  <c r="Q8" i="12"/>
  <c r="O10" i="12"/>
  <c r="M12" i="12"/>
  <c r="K14" i="12"/>
  <c r="R15" i="12"/>
  <c r="P17" i="12"/>
  <c r="N19" i="12"/>
  <c r="L21" i="12"/>
  <c r="S22" i="12"/>
  <c r="I6" i="56"/>
  <c r="I10" i="56"/>
  <c r="I14" i="56"/>
  <c r="I18" i="56"/>
  <c r="I22" i="56"/>
  <c r="U5" i="56"/>
  <c r="U9" i="56"/>
  <c r="U13" i="56"/>
  <c r="U17" i="56"/>
  <c r="U21" i="56"/>
  <c r="U25" i="56"/>
  <c r="I4" i="52"/>
  <c r="I6" i="52"/>
  <c r="I8" i="52"/>
  <c r="I10" i="52"/>
  <c r="I12" i="52"/>
  <c r="O2" i="46"/>
  <c r="I2" i="47"/>
  <c r="C2" i="7"/>
  <c r="S2" i="7"/>
  <c r="M2" i="5"/>
  <c r="G2" i="15"/>
  <c r="A3" i="18"/>
  <c r="Q3" i="18"/>
  <c r="E4" i="42"/>
  <c r="E6" i="42"/>
  <c r="E8" i="42"/>
  <c r="E10" i="42"/>
  <c r="E12" i="42"/>
  <c r="E14" i="42"/>
  <c r="E16" i="42"/>
  <c r="E18" i="42"/>
  <c r="E20" i="42"/>
  <c r="E22" i="42"/>
  <c r="C5" i="43"/>
  <c r="C21" i="43"/>
  <c r="H9" i="43"/>
  <c r="H17" i="43"/>
  <c r="P4" i="9"/>
  <c r="AF4" i="9"/>
  <c r="H2" i="38"/>
  <c r="J28" i="48"/>
  <c r="N2" i="5"/>
  <c r="H2" i="15"/>
  <c r="B3" i="18"/>
  <c r="R3" i="18"/>
  <c r="F4" i="42"/>
  <c r="F6" i="42"/>
  <c r="F8" i="42"/>
  <c r="F10" i="42"/>
  <c r="F12" i="42"/>
  <c r="F14" i="42"/>
  <c r="F16" i="42"/>
  <c r="F18" i="42"/>
  <c r="F20" i="42"/>
  <c r="F22" i="42"/>
  <c r="C6" i="43"/>
  <c r="C22" i="43"/>
  <c r="G10" i="43"/>
  <c r="G18" i="43"/>
  <c r="AG2" i="12"/>
  <c r="AF2" i="12"/>
  <c r="E18" i="28" a="1"/>
  <c r="E21" i="28" a="1"/>
  <c r="M22" i="48" a="1"/>
  <c r="M9" i="48" a="1"/>
  <c r="M5" i="48" a="1"/>
  <c r="J5" i="1" a="1"/>
  <c r="J23" i="1" a="1"/>
  <c r="J7" i="1" a="1"/>
  <c r="J18" i="1" a="1"/>
  <c r="J15" i="1" a="1"/>
  <c r="J15" i="1" l="1"/>
  <c r="J18" i="1"/>
  <c r="J7" i="1"/>
  <c r="J23" i="1"/>
  <c r="J5" i="1"/>
  <c r="M5" i="48"/>
  <c r="M9" i="48"/>
  <c r="M22" i="48"/>
  <c r="E21" i="28"/>
  <c r="E18" i="28"/>
  <c r="Y3" i="12" a="1"/>
  <c r="Y3" i="12" s="1"/>
  <c r="Y12" i="12" a="1"/>
  <c r="Y12" i="12" s="1"/>
  <c r="Y15" i="12" a="1"/>
  <c r="Y15" i="12" s="1"/>
  <c r="Y16" i="12" a="1"/>
  <c r="Y16" i="12" s="1"/>
  <c r="Y17" i="12" a="1"/>
  <c r="Y17" i="12" s="1"/>
  <c r="Y18" i="12" a="1"/>
  <c r="Y18" i="12" s="1"/>
  <c r="Y19" i="12" a="1"/>
  <c r="Y19" i="12" s="1"/>
  <c r="Y4" i="12" a="1"/>
  <c r="Y4" i="12" s="1"/>
  <c r="Y20" i="12" a="1"/>
  <c r="Y20" i="12" s="1"/>
  <c r="Y5" i="12" a="1"/>
  <c r="Y5" i="12" s="1"/>
  <c r="Y21" i="12" a="1"/>
  <c r="Y21" i="12" s="1"/>
  <c r="Y6" i="12" a="1"/>
  <c r="Y6" i="12" s="1"/>
  <c r="Y22" i="12" a="1"/>
  <c r="Y22" i="12" s="1"/>
  <c r="Y7" i="12" a="1"/>
  <c r="Y7" i="12" s="1"/>
  <c r="Y23" i="12" a="1"/>
  <c r="Y23" i="12" s="1"/>
  <c r="Y8" i="12" a="1"/>
  <c r="Y8" i="12" s="1"/>
  <c r="Y9" i="12" a="1"/>
  <c r="Y9" i="12" s="1"/>
  <c r="Y10" i="12" a="1"/>
  <c r="Y10" i="12" s="1"/>
  <c r="Y11" i="12" a="1"/>
  <c r="Y11" i="12" s="1"/>
  <c r="Y13" i="12" a="1"/>
  <c r="Y13" i="12" s="1"/>
  <c r="Y14" i="12" a="1"/>
  <c r="Y14" i="12" s="1"/>
  <c r="AE2" i="12" l="1"/>
  <c r="E31" i="8"/>
  <c r="F28" i="8"/>
  <c r="E28" i="8"/>
  <c r="F24" i="8"/>
  <c r="E20" i="8"/>
  <c r="E24" i="8"/>
  <c r="L2" i="48" l="1"/>
  <c r="L1" i="48"/>
  <c r="L26" i="48" a="1"/>
  <c r="O3" i="48" a="1"/>
  <c r="K26" i="48" a="1"/>
  <c r="N3" i="48" a="1"/>
  <c r="N3" i="48" l="1"/>
  <c r="K26" i="48"/>
  <c r="O3" i="48"/>
  <c r="L26" i="48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3" i="12"/>
  <c r="K27" i="48" a="1"/>
  <c r="K28" i="48" a="1"/>
  <c r="L27" i="48" a="1"/>
  <c r="L28" i="48" a="1"/>
  <c r="O4" i="48" a="1"/>
  <c r="O5" i="48" a="1"/>
  <c r="O6" i="48" a="1"/>
  <c r="O7" i="48" a="1"/>
  <c r="O8" i="48" a="1"/>
  <c r="O9" i="48" a="1"/>
  <c r="O10" i="48" a="1"/>
  <c r="O11" i="48" a="1"/>
  <c r="O12" i="48" a="1"/>
  <c r="O13" i="48" a="1"/>
  <c r="O14" i="48" a="1"/>
  <c r="O15" i="48" a="1"/>
  <c r="O16" i="48" a="1"/>
  <c r="O17" i="48" a="1"/>
  <c r="O18" i="48" a="1"/>
  <c r="O19" i="48" a="1"/>
  <c r="O20" i="48" a="1"/>
  <c r="O21" i="48" a="1"/>
  <c r="O22" i="48" a="1"/>
  <c r="O23" i="48" a="1"/>
  <c r="O24" i="48" a="1"/>
  <c r="N4" i="48" a="1"/>
  <c r="N5" i="48" a="1"/>
  <c r="N6" i="48" a="1"/>
  <c r="N7" i="48" a="1"/>
  <c r="N8" i="48" a="1"/>
  <c r="N9" i="48" a="1"/>
  <c r="N10" i="48" a="1"/>
  <c r="N11" i="48" a="1"/>
  <c r="N12" i="48" a="1"/>
  <c r="N13" i="48" a="1"/>
  <c r="N14" i="48" a="1"/>
  <c r="N15" i="48" a="1"/>
  <c r="N16" i="48" a="1"/>
  <c r="N17" i="48" a="1"/>
  <c r="N18" i="48" a="1"/>
  <c r="N19" i="48" a="1"/>
  <c r="N20" i="48" a="1"/>
  <c r="N21" i="48" a="1"/>
  <c r="N22" i="48" a="1"/>
  <c r="N23" i="48" a="1"/>
  <c r="N24" i="48" a="1"/>
  <c r="N24" i="48" l="1"/>
  <c r="N23" i="48"/>
  <c r="N22" i="48"/>
  <c r="N21" i="48"/>
  <c r="N20" i="48"/>
  <c r="N19" i="48"/>
  <c r="N18" i="48"/>
  <c r="N17" i="48"/>
  <c r="N16" i="48"/>
  <c r="N15" i="48"/>
  <c r="N14" i="48"/>
  <c r="N13" i="48"/>
  <c r="N12" i="48"/>
  <c r="N11" i="48"/>
  <c r="N10" i="48"/>
  <c r="N9" i="48"/>
  <c r="N8" i="48"/>
  <c r="N7" i="48"/>
  <c r="N6" i="48"/>
  <c r="N5" i="48"/>
  <c r="N4" i="48"/>
  <c r="O24" i="48"/>
  <c r="O23" i="48"/>
  <c r="O22" i="48"/>
  <c r="O21" i="48"/>
  <c r="O20" i="48"/>
  <c r="O19" i="48"/>
  <c r="O18" i="48"/>
  <c r="O17" i="48"/>
  <c r="O16" i="48"/>
  <c r="O15" i="48"/>
  <c r="O14" i="48"/>
  <c r="O13" i="48"/>
  <c r="O12" i="48"/>
  <c r="O11" i="48"/>
  <c r="O10" i="48"/>
  <c r="O9" i="48"/>
  <c r="O8" i="48"/>
  <c r="O7" i="48"/>
  <c r="O6" i="48"/>
  <c r="O5" i="48"/>
  <c r="O4" i="48"/>
  <c r="L28" i="48"/>
  <c r="L27" i="48"/>
  <c r="K28" i="48"/>
  <c r="K27" i="48"/>
  <c r="AE3" i="12"/>
  <c r="AE13" i="12"/>
  <c r="AE20" i="12"/>
  <c r="AE8" i="12"/>
  <c r="AE4" i="12"/>
  <c r="AE21" i="12"/>
  <c r="AE9" i="12"/>
  <c r="AE16" i="12"/>
  <c r="AE23" i="12"/>
  <c r="AE19" i="12"/>
  <c r="AE15" i="12"/>
  <c r="AE11" i="12"/>
  <c r="AE7" i="12"/>
  <c r="AE17" i="12"/>
  <c r="AE5" i="12"/>
  <c r="AE12" i="12"/>
  <c r="AE22" i="12"/>
  <c r="AE18" i="12"/>
  <c r="AE14" i="12"/>
  <c r="AE10" i="12"/>
  <c r="AE6" i="12"/>
  <c r="F33" i="57"/>
  <c r="L8" i="56" l="1"/>
  <c r="M8" i="56"/>
  <c r="N8" i="56"/>
  <c r="N23" i="1"/>
  <c r="G22" i="39"/>
  <c r="N17" i="1"/>
  <c r="G16" i="39"/>
  <c r="N13" i="1"/>
  <c r="G12" i="39"/>
  <c r="N5" i="1"/>
  <c r="G4" i="39"/>
  <c r="L25" i="56"/>
  <c r="M25" i="56"/>
  <c r="N25" i="56"/>
  <c r="L23" i="56"/>
  <c r="M23" i="56"/>
  <c r="N23" i="56"/>
  <c r="L21" i="56"/>
  <c r="M21" i="56"/>
  <c r="N21" i="56"/>
  <c r="L19" i="56"/>
  <c r="M19" i="56"/>
  <c r="N19" i="56"/>
  <c r="L15" i="56"/>
  <c r="M15" i="56"/>
  <c r="N15" i="56"/>
  <c r="L11" i="56"/>
  <c r="M11" i="56"/>
  <c r="N11" i="56"/>
  <c r="L7" i="56"/>
  <c r="M7" i="56"/>
  <c r="N7" i="56"/>
  <c r="N22" i="1"/>
  <c r="G21" i="39"/>
  <c r="N16" i="1"/>
  <c r="G15" i="39"/>
  <c r="N12" i="1"/>
  <c r="G11" i="39"/>
  <c r="N8" i="1"/>
  <c r="G7" i="39"/>
  <c r="N4" i="1"/>
  <c r="G3" i="39"/>
  <c r="L18" i="56"/>
  <c r="M18" i="56"/>
  <c r="N18" i="56"/>
  <c r="L14" i="56"/>
  <c r="M14" i="56"/>
  <c r="N14" i="56"/>
  <c r="L10" i="56"/>
  <c r="M10" i="56"/>
  <c r="N10" i="56"/>
  <c r="L6" i="56"/>
  <c r="M6" i="56"/>
  <c r="N6" i="56"/>
  <c r="N20" i="1"/>
  <c r="G19" i="39"/>
  <c r="N15" i="1"/>
  <c r="G14" i="39"/>
  <c r="N11" i="1"/>
  <c r="G10" i="39"/>
  <c r="N7" i="1"/>
  <c r="G6" i="39"/>
  <c r="N3" i="1"/>
  <c r="G2" i="39"/>
  <c r="L12" i="56"/>
  <c r="M12" i="56"/>
  <c r="N12" i="56"/>
  <c r="L24" i="56"/>
  <c r="M24" i="56"/>
  <c r="N24" i="56"/>
  <c r="L22" i="56"/>
  <c r="M22" i="56"/>
  <c r="N22" i="56"/>
  <c r="L20" i="56"/>
  <c r="M20" i="56"/>
  <c r="N20" i="56"/>
  <c r="L17" i="56"/>
  <c r="M17" i="56"/>
  <c r="N17" i="56"/>
  <c r="L13" i="56"/>
  <c r="M13" i="56"/>
  <c r="N13" i="56"/>
  <c r="L9" i="56"/>
  <c r="M9" i="56"/>
  <c r="N9" i="56"/>
  <c r="N5" i="56"/>
  <c r="L5" i="56"/>
  <c r="M5" i="56"/>
  <c r="N18" i="1"/>
  <c r="G17" i="39"/>
  <c r="N19" i="1"/>
  <c r="G18" i="39"/>
  <c r="N14" i="1"/>
  <c r="G13" i="39"/>
  <c r="N10" i="1"/>
  <c r="G9" i="39"/>
  <c r="N6" i="1"/>
  <c r="G5" i="39"/>
  <c r="L16" i="56"/>
  <c r="M16" i="56"/>
  <c r="N16" i="56"/>
  <c r="N9" i="1"/>
  <c r="G8" i="39"/>
  <c r="AD21" i="12"/>
  <c r="AC16" i="12"/>
  <c r="AD5" i="12"/>
  <c r="AD14" i="12"/>
  <c r="AC9" i="12"/>
  <c r="W4" i="12" a="1"/>
  <c r="W4" i="12" s="1"/>
  <c r="W7" i="12" a="1"/>
  <c r="W7" i="12" s="1"/>
  <c r="W13" i="12" a="1"/>
  <c r="W13" i="12" s="1"/>
  <c r="W19" i="12" a="1"/>
  <c r="W19" i="12" s="1"/>
  <c r="W22" i="12" a="1"/>
  <c r="W22" i="12" s="1"/>
  <c r="W5" i="12" a="1"/>
  <c r="W5" i="12" s="1"/>
  <c r="W10" i="12" a="1"/>
  <c r="W10" i="12" s="1"/>
  <c r="W16" i="12" a="1"/>
  <c r="W16" i="12" s="1"/>
  <c r="W20" i="12" a="1"/>
  <c r="W20" i="12" s="1"/>
  <c r="W23" i="12" a="1"/>
  <c r="W23" i="12" s="1"/>
  <c r="W8" i="12" a="1"/>
  <c r="W8" i="12" s="1"/>
  <c r="W11" i="12" a="1"/>
  <c r="W11" i="12" s="1"/>
  <c r="W14" i="12" a="1"/>
  <c r="W14" i="12" s="1"/>
  <c r="W17" i="12" a="1"/>
  <c r="W17" i="12" s="1"/>
  <c r="W21" i="12" a="1"/>
  <c r="W21" i="12" s="1"/>
  <c r="W6" i="12" a="1"/>
  <c r="W6" i="12" s="1"/>
  <c r="W9" i="12" a="1"/>
  <c r="W9" i="12" s="1"/>
  <c r="W12" i="12" a="1"/>
  <c r="W12" i="12" s="1"/>
  <c r="W15" i="12" a="1"/>
  <c r="W15" i="12" s="1"/>
  <c r="W18" i="12" a="1"/>
  <c r="W18" i="12" s="1"/>
  <c r="W3" i="12" a="1"/>
  <c r="W3" i="12" s="1"/>
  <c r="AD23" i="12"/>
  <c r="AC18" i="12"/>
  <c r="AD7" i="12"/>
  <c r="AD20" i="12"/>
  <c r="AC15" i="12"/>
  <c r="AD4" i="12"/>
  <c r="AC20" i="12"/>
  <c r="AD9" i="12"/>
  <c r="AC4" i="12"/>
  <c r="V4" i="12" a="1"/>
  <c r="V4" i="12" s="1"/>
  <c r="V7" i="12" a="1"/>
  <c r="V7" i="12" s="1"/>
  <c r="V10" i="12" a="1"/>
  <c r="V10" i="12" s="1"/>
  <c r="V16" i="12" a="1"/>
  <c r="V16" i="12" s="1"/>
  <c r="V19" i="12" a="1"/>
  <c r="V19" i="12" s="1"/>
  <c r="V22" i="12" a="1"/>
  <c r="V22" i="12" s="1"/>
  <c r="V5" i="12" a="1"/>
  <c r="V5" i="12" s="1"/>
  <c r="V11" i="12" a="1"/>
  <c r="V11" i="12" s="1"/>
  <c r="V14" i="12" a="1"/>
  <c r="V14" i="12" s="1"/>
  <c r="V17" i="12" a="1"/>
  <c r="V17" i="12" s="1"/>
  <c r="V20" i="12" a="1"/>
  <c r="V20" i="12" s="1"/>
  <c r="V23" i="12" a="1"/>
  <c r="V23" i="12" s="1"/>
  <c r="V8" i="12" a="1"/>
  <c r="V8" i="12" s="1"/>
  <c r="V12" i="12" a="1"/>
  <c r="V12" i="12" s="1"/>
  <c r="V15" i="12" a="1"/>
  <c r="V15" i="12" s="1"/>
  <c r="V21" i="12" a="1"/>
  <c r="V21" i="12" s="1"/>
  <c r="V3" i="12" a="1"/>
  <c r="V3" i="12" s="1"/>
  <c r="V6" i="12" a="1"/>
  <c r="V6" i="12" s="1"/>
  <c r="V9" i="12" a="1"/>
  <c r="V9" i="12" s="1"/>
  <c r="V13" i="12" a="1"/>
  <c r="V13" i="12" s="1"/>
  <c r="V18" i="12" a="1"/>
  <c r="V18" i="12" s="1"/>
  <c r="AD18" i="12"/>
  <c r="AC13" i="12"/>
  <c r="AC22" i="12"/>
  <c r="AD11" i="12"/>
  <c r="AC6" i="12"/>
  <c r="AC19" i="12"/>
  <c r="AD8" i="12"/>
  <c r="AC3" i="12"/>
  <c r="T5" i="12" a="1"/>
  <c r="T5" i="12" s="1"/>
  <c r="T10" i="12" a="1"/>
  <c r="T10" i="12" s="1"/>
  <c r="T16" i="12" a="1"/>
  <c r="T16" i="12" s="1"/>
  <c r="T19" i="12" a="1"/>
  <c r="T19" i="12" s="1"/>
  <c r="T22" i="12" a="1"/>
  <c r="T22" i="12" s="1"/>
  <c r="T8" i="12" a="1"/>
  <c r="T8" i="12" s="1"/>
  <c r="T11" i="12" a="1"/>
  <c r="T11" i="12" s="1"/>
  <c r="T14" i="12" a="1"/>
  <c r="T14" i="12" s="1"/>
  <c r="T17" i="12" a="1"/>
  <c r="T17" i="12" s="1"/>
  <c r="T20" i="12" a="1"/>
  <c r="T20" i="12" s="1"/>
  <c r="T23" i="12" a="1"/>
  <c r="T23" i="12" s="1"/>
  <c r="T6" i="12" a="1"/>
  <c r="T6" i="12" s="1"/>
  <c r="T9" i="12" a="1"/>
  <c r="T9" i="12" s="1"/>
  <c r="T12" i="12" a="1"/>
  <c r="T12" i="12" s="1"/>
  <c r="T15" i="12" a="1"/>
  <c r="T15" i="12" s="1"/>
  <c r="T21" i="12" a="1"/>
  <c r="T21" i="12" s="1"/>
  <c r="T4" i="12" a="1"/>
  <c r="T4" i="12" s="1"/>
  <c r="T7" i="12" a="1"/>
  <c r="T7" i="12" s="1"/>
  <c r="T13" i="12" a="1"/>
  <c r="T13" i="12" s="1"/>
  <c r="T18" i="12" a="1"/>
  <c r="T18" i="12" s="1"/>
  <c r="T3" i="12" a="1"/>
  <c r="T3" i="12" s="1"/>
  <c r="AD13" i="12"/>
  <c r="AC8" i="12"/>
  <c r="Z6" i="12" a="1"/>
  <c r="Z6" i="12" s="1"/>
  <c r="Z9" i="12" a="1"/>
  <c r="Z9" i="12" s="1"/>
  <c r="Z12" i="12" a="1"/>
  <c r="Z12" i="12" s="1"/>
  <c r="Z15" i="12" a="1"/>
  <c r="Z15" i="12" s="1"/>
  <c r="Z21" i="12" a="1"/>
  <c r="Z21" i="12" s="1"/>
  <c r="Z3" i="12" a="1"/>
  <c r="Z3" i="12" s="1"/>
  <c r="Z4" i="12" a="1"/>
  <c r="Z4" i="12" s="1"/>
  <c r="Z7" i="12" a="1"/>
  <c r="Z7" i="12" s="1"/>
  <c r="Z13" i="12" a="1"/>
  <c r="Z13" i="12" s="1"/>
  <c r="Z18" i="12" a="1"/>
  <c r="Z18" i="12" s="1"/>
  <c r="Z5" i="12" a="1"/>
  <c r="Z5" i="12" s="1"/>
  <c r="Z10" i="12" a="1"/>
  <c r="Z10" i="12" s="1"/>
  <c r="Z16" i="12" a="1"/>
  <c r="Z16" i="12" s="1"/>
  <c r="Z19" i="12" a="1"/>
  <c r="Z19" i="12" s="1"/>
  <c r="Z22" i="12" a="1"/>
  <c r="Z22" i="12" s="1"/>
  <c r="Z8" i="12" a="1"/>
  <c r="Z8" i="12" s="1"/>
  <c r="Z11" i="12" a="1"/>
  <c r="Z11" i="12" s="1"/>
  <c r="Z14" i="12" a="1"/>
  <c r="Z14" i="12" s="1"/>
  <c r="Z17" i="12" a="1"/>
  <c r="Z17" i="12" s="1"/>
  <c r="Z20" i="12" a="1"/>
  <c r="Z20" i="12" s="1"/>
  <c r="Z23" i="12" a="1"/>
  <c r="Z23" i="12" s="1"/>
  <c r="AD22" i="12"/>
  <c r="AC17" i="12"/>
  <c r="AD6" i="12"/>
  <c r="AD15" i="12"/>
  <c r="AC10" i="12"/>
  <c r="AC23" i="12"/>
  <c r="AD12" i="12"/>
  <c r="AC7" i="12"/>
  <c r="X6" i="12" a="1"/>
  <c r="X6" i="12" s="1"/>
  <c r="X9" i="12" a="1"/>
  <c r="X9" i="12" s="1"/>
  <c r="X13" i="12" a="1"/>
  <c r="X13" i="12" s="1"/>
  <c r="X18" i="12" a="1"/>
  <c r="X18" i="12" s="1"/>
  <c r="X4" i="12" a="1"/>
  <c r="X4" i="12" s="1"/>
  <c r="X7" i="12" a="1"/>
  <c r="X7" i="12" s="1"/>
  <c r="X10" i="12" a="1"/>
  <c r="X10" i="12" s="1"/>
  <c r="X16" i="12" a="1"/>
  <c r="X16" i="12" s="1"/>
  <c r="X19" i="12" a="1"/>
  <c r="X19" i="12" s="1"/>
  <c r="X22" i="12" a="1"/>
  <c r="X22" i="12" s="1"/>
  <c r="X5" i="12" a="1"/>
  <c r="X5" i="12" s="1"/>
  <c r="X11" i="12" a="1"/>
  <c r="X11" i="12" s="1"/>
  <c r="X14" i="12" a="1"/>
  <c r="X14" i="12" s="1"/>
  <c r="X17" i="12" a="1"/>
  <c r="X17" i="12" s="1"/>
  <c r="X20" i="12" a="1"/>
  <c r="X20" i="12" s="1"/>
  <c r="X23" i="12" a="1"/>
  <c r="X23" i="12" s="1"/>
  <c r="X8" i="12" a="1"/>
  <c r="X8" i="12" s="1"/>
  <c r="X12" i="12" a="1"/>
  <c r="X12" i="12" s="1"/>
  <c r="X15" i="12" a="1"/>
  <c r="X15" i="12" s="1"/>
  <c r="X21" i="12" a="1"/>
  <c r="X21" i="12" s="1"/>
  <c r="X3" i="12" a="1"/>
  <c r="X3" i="12" s="1"/>
  <c r="AD17" i="12"/>
  <c r="AC12" i="12"/>
  <c r="AC21" i="12"/>
  <c r="AD10" i="12"/>
  <c r="AC5" i="12"/>
  <c r="AD19" i="12"/>
  <c r="AC14" i="12"/>
  <c r="AD3" i="12"/>
  <c r="AD16" i="12"/>
  <c r="AC11" i="12"/>
  <c r="S23" i="52"/>
  <c r="P24" i="56" l="1"/>
  <c r="P7" i="56"/>
  <c r="P11" i="56"/>
  <c r="P14" i="56"/>
  <c r="P21" i="56"/>
  <c r="P10" i="56"/>
  <c r="M27" i="56"/>
  <c r="M28" i="56"/>
  <c r="P13" i="56"/>
  <c r="P18" i="56"/>
  <c r="P23" i="56"/>
  <c r="P16" i="56"/>
  <c r="L28" i="56"/>
  <c r="P5" i="56"/>
  <c r="L27" i="56"/>
  <c r="P9" i="56"/>
  <c r="P22" i="56"/>
  <c r="N27" i="56"/>
  <c r="N28" i="56"/>
  <c r="P20" i="56"/>
  <c r="P12" i="56"/>
  <c r="P19" i="56"/>
  <c r="P8" i="56"/>
  <c r="P17" i="56"/>
  <c r="P6" i="56"/>
  <c r="P15" i="56"/>
  <c r="P25" i="56"/>
  <c r="G20" i="39"/>
  <c r="N21" i="1"/>
  <c r="F31" i="57"/>
  <c r="F30" i="57"/>
  <c r="F29" i="57"/>
  <c r="F28" i="57"/>
  <c r="F27" i="57"/>
  <c r="F26" i="57"/>
  <c r="F25" i="57"/>
  <c r="F24" i="57"/>
  <c r="F23" i="57"/>
  <c r="F22" i="57"/>
  <c r="F20" i="57"/>
  <c r="F19" i="57"/>
  <c r="F17" i="57"/>
  <c r="F16" i="57"/>
  <c r="F15" i="57"/>
  <c r="F14" i="57"/>
  <c r="F13" i="57"/>
  <c r="F12" i="57"/>
  <c r="F11" i="57"/>
  <c r="F10" i="57"/>
  <c r="F9" i="57"/>
  <c r="F8" i="57"/>
  <c r="F7" i="57"/>
  <c r="F6" i="57"/>
  <c r="F5" i="57"/>
  <c r="F4" i="57"/>
  <c r="F3" i="57"/>
  <c r="F2" i="57"/>
  <c r="Q8" i="48" l="1" a="1"/>
  <c r="Q8" i="48" s="1"/>
  <c r="AF7" i="12" s="1"/>
  <c r="Q4" i="48" a="1"/>
  <c r="Q4" i="48" s="1"/>
  <c r="AF3" i="12" s="1"/>
  <c r="Q11" i="48" a="1"/>
  <c r="Q11" i="48" s="1"/>
  <c r="AF10" i="12" s="1"/>
  <c r="Q23" i="48" a="1"/>
  <c r="Q23" i="48" s="1"/>
  <c r="AF22" i="12" s="1"/>
  <c r="Q20" i="48" a="1"/>
  <c r="Q20" i="48" s="1"/>
  <c r="AF19" i="12" s="1"/>
  <c r="Q13" i="48" a="1"/>
  <c r="Q13" i="48" s="1"/>
  <c r="AF12" i="12" s="1"/>
  <c r="Q10" i="48" a="1"/>
  <c r="Q10" i="48" s="1"/>
  <c r="AF9" i="12" s="1"/>
  <c r="Q7" i="48" a="1"/>
  <c r="Q7" i="48" s="1"/>
  <c r="AF6" i="12" s="1"/>
  <c r="Q22" i="48" a="1"/>
  <c r="Q22" i="48" s="1"/>
  <c r="AF21" i="12" s="1"/>
  <c r="Q19" i="48" a="1"/>
  <c r="Q19" i="48" s="1"/>
  <c r="AF18" i="12" s="1"/>
  <c r="Q16" i="48" a="1"/>
  <c r="Q16" i="48" s="1"/>
  <c r="AF15" i="12" s="1"/>
  <c r="Q9" i="48" a="1"/>
  <c r="Q9" i="48" s="1"/>
  <c r="AF8" i="12" s="1"/>
  <c r="Q6" i="48" a="1"/>
  <c r="Q6" i="48" s="1"/>
  <c r="AF5" i="12" s="1"/>
  <c r="Q21" i="48" a="1"/>
  <c r="Q21" i="48" s="1"/>
  <c r="AF20" i="12" s="1"/>
  <c r="Q18" i="48" a="1"/>
  <c r="Q18" i="48" s="1"/>
  <c r="AF17" i="12" s="1"/>
  <c r="Q15" i="48" a="1"/>
  <c r="Q15" i="48" s="1"/>
  <c r="AF14" i="12" s="1"/>
  <c r="Q12" i="48" a="1"/>
  <c r="Q12" i="48" s="1"/>
  <c r="AF11" i="12" s="1"/>
  <c r="Q5" i="48" a="1"/>
  <c r="Q5" i="48" s="1"/>
  <c r="AF4" i="12" s="1"/>
  <c r="Q24" i="48" a="1"/>
  <c r="Q24" i="48" s="1"/>
  <c r="AF23" i="12" s="1"/>
  <c r="Q17" i="48" a="1"/>
  <c r="Q17" i="48" s="1"/>
  <c r="AF16" i="12" s="1"/>
  <c r="Q14" i="48" a="1"/>
  <c r="Q14" i="48" s="1"/>
  <c r="AF13" i="12" s="1"/>
  <c r="N30" i="56"/>
  <c r="D8" i="58" s="1"/>
  <c r="L30" i="56"/>
  <c r="D6" i="58" s="1"/>
  <c r="M30" i="56"/>
  <c r="D7" i="58" s="1"/>
  <c r="C138" i="5"/>
  <c r="C139" i="5" s="1"/>
  <c r="E10" i="55" s="1"/>
  <c r="D138" i="5"/>
  <c r="D139" i="5" s="1"/>
  <c r="E138" i="5"/>
  <c r="E139" i="5" s="1"/>
  <c r="F138" i="5"/>
  <c r="F139" i="5" s="1"/>
  <c r="G138" i="5"/>
  <c r="G139" i="5" s="1"/>
  <c r="E14" i="55" s="1"/>
  <c r="H138" i="5"/>
  <c r="H139" i="5" s="1"/>
  <c r="I138" i="5"/>
  <c r="I139" i="5" s="1"/>
  <c r="J138" i="5"/>
  <c r="J139" i="5" s="1"/>
  <c r="K138" i="5"/>
  <c r="K139" i="5" s="1"/>
  <c r="E18" i="55" s="1"/>
  <c r="L138" i="5"/>
  <c r="L139" i="5" s="1"/>
  <c r="M138" i="5"/>
  <c r="M139" i="5" s="1"/>
  <c r="N138" i="5"/>
  <c r="N139" i="5" s="1"/>
  <c r="O138" i="5"/>
  <c r="O139" i="5" s="1"/>
  <c r="E22" i="55" s="1"/>
  <c r="P138" i="5"/>
  <c r="P139" i="5" s="1"/>
  <c r="Q138" i="5"/>
  <c r="Q139" i="5" s="1"/>
  <c r="R138" i="5"/>
  <c r="R139" i="5" s="1"/>
  <c r="S138" i="5"/>
  <c r="S139" i="5" s="1"/>
  <c r="E26" i="55" s="1"/>
  <c r="T138" i="5"/>
  <c r="T139" i="5" s="1"/>
  <c r="U138" i="5"/>
  <c r="U139" i="5" s="1"/>
  <c r="V138" i="5"/>
  <c r="V139" i="5" s="1"/>
  <c r="B138" i="5"/>
  <c r="B139" i="5" s="1"/>
  <c r="E28" i="55" l="1"/>
  <c r="E24" i="55"/>
  <c r="E20" i="55"/>
  <c r="E16" i="55"/>
  <c r="E12" i="55"/>
  <c r="E9" i="55"/>
  <c r="E27" i="55"/>
  <c r="E23" i="55"/>
  <c r="E29" i="55"/>
  <c r="E25" i="55"/>
  <c r="E21" i="55"/>
  <c r="E17" i="55"/>
  <c r="E13" i="55"/>
  <c r="E19" i="55"/>
  <c r="E15" i="55"/>
  <c r="E11" i="55"/>
  <c r="C33" i="12" l="1"/>
  <c r="C34" i="12"/>
  <c r="L2" i="40"/>
  <c r="J2" i="40"/>
  <c r="I2" i="40"/>
  <c r="F2" i="40"/>
  <c r="E2" i="40"/>
  <c r="D2" i="40"/>
  <c r="D82" i="8"/>
  <c r="S9" i="52" l="1"/>
  <c r="S4" i="52"/>
  <c r="S16" i="52"/>
  <c r="S5" i="52"/>
  <c r="H34" i="12"/>
  <c r="H33" i="12"/>
  <c r="P2" i="40"/>
  <c r="S13" i="52" l="1"/>
  <c r="S3" i="52"/>
  <c r="I33" i="12"/>
  <c r="J33" i="12" s="1"/>
  <c r="I34" i="12"/>
  <c r="J34" i="12" s="1"/>
  <c r="T16" i="52" l="1"/>
  <c r="T4" i="52"/>
  <c r="T9" i="52"/>
  <c r="S14" i="52"/>
  <c r="T14" i="52" s="1"/>
  <c r="T5" i="52"/>
  <c r="T23" i="52"/>
  <c r="T13" i="52" l="1"/>
  <c r="T3" i="52"/>
  <c r="B24" i="18" l="1"/>
  <c r="B26" i="18" s="1" a="1"/>
  <c r="B26" i="18" s="1"/>
  <c r="K2" i="39" s="1"/>
  <c r="C131" i="15"/>
  <c r="D131" i="15"/>
  <c r="E131" i="15"/>
  <c r="F131" i="15"/>
  <c r="G131" i="15"/>
  <c r="H131" i="15"/>
  <c r="I131" i="15"/>
  <c r="J131" i="15"/>
  <c r="K131" i="15"/>
  <c r="L131" i="15"/>
  <c r="M131" i="15"/>
  <c r="N131" i="15"/>
  <c r="O131" i="15"/>
  <c r="P131" i="15"/>
  <c r="Q131" i="15"/>
  <c r="R131" i="15"/>
  <c r="S131" i="15"/>
  <c r="T131" i="15"/>
  <c r="U131" i="15"/>
  <c r="V131" i="15"/>
  <c r="C130" i="15"/>
  <c r="D130" i="15"/>
  <c r="E130" i="15"/>
  <c r="F130" i="15"/>
  <c r="G130" i="15"/>
  <c r="H130" i="15"/>
  <c r="I130" i="15"/>
  <c r="J130" i="15"/>
  <c r="K130" i="15"/>
  <c r="L130" i="15"/>
  <c r="M130" i="15"/>
  <c r="N130" i="15"/>
  <c r="O130" i="15"/>
  <c r="P130" i="15"/>
  <c r="Q130" i="15"/>
  <c r="R130" i="15"/>
  <c r="S130" i="15"/>
  <c r="T130" i="15"/>
  <c r="U130" i="15"/>
  <c r="V130" i="15"/>
  <c r="B131" i="15"/>
  <c r="B130" i="15"/>
  <c r="C128" i="15" a="1"/>
  <c r="C128" i="15" s="1"/>
  <c r="D128" i="15" a="1"/>
  <c r="D128" i="15" s="1"/>
  <c r="E128" i="15" a="1"/>
  <c r="E128" i="15" s="1"/>
  <c r="F128" i="15" a="1"/>
  <c r="F128" i="15" s="1"/>
  <c r="G128" i="15" a="1"/>
  <c r="G128" i="15" s="1"/>
  <c r="H128" i="15" a="1"/>
  <c r="H128" i="15" s="1"/>
  <c r="I128" i="15" a="1"/>
  <c r="I128" i="15" s="1"/>
  <c r="J128" i="15" a="1"/>
  <c r="J128" i="15" s="1"/>
  <c r="K128" i="15" a="1"/>
  <c r="K128" i="15" s="1"/>
  <c r="L128" i="15" a="1"/>
  <c r="L128" i="15" s="1"/>
  <c r="M128" i="15" a="1"/>
  <c r="M128" i="15" s="1"/>
  <c r="N128" i="15" a="1"/>
  <c r="N128" i="15" s="1"/>
  <c r="O128" i="15" a="1"/>
  <c r="O128" i="15" s="1"/>
  <c r="P128" i="15" a="1"/>
  <c r="P128" i="15" s="1"/>
  <c r="Q128" i="15" a="1"/>
  <c r="Q128" i="15" s="1"/>
  <c r="R128" i="15" a="1"/>
  <c r="R128" i="15" s="1"/>
  <c r="S128" i="15" a="1"/>
  <c r="S128" i="15" s="1"/>
  <c r="T128" i="15" a="1"/>
  <c r="T128" i="15" s="1"/>
  <c r="U128" i="15" a="1"/>
  <c r="U128" i="15" s="1"/>
  <c r="V128" i="15" a="1"/>
  <c r="V128" i="15" s="1"/>
  <c r="C127" i="15" a="1"/>
  <c r="C127" i="15" s="1"/>
  <c r="D127" i="15" a="1"/>
  <c r="D127" i="15" s="1"/>
  <c r="E127" i="15" a="1"/>
  <c r="E127" i="15" s="1"/>
  <c r="F127" i="15" a="1"/>
  <c r="F127" i="15" s="1"/>
  <c r="G127" i="15" a="1"/>
  <c r="G127" i="15" s="1"/>
  <c r="H127" i="15" a="1"/>
  <c r="H127" i="15" s="1"/>
  <c r="I127" i="15" a="1"/>
  <c r="I127" i="15" s="1"/>
  <c r="J127" i="15" a="1"/>
  <c r="J127" i="15" s="1"/>
  <c r="K127" i="15" a="1"/>
  <c r="K127" i="15" s="1"/>
  <c r="L127" i="15" a="1"/>
  <c r="L127" i="15" s="1"/>
  <c r="M127" i="15" a="1"/>
  <c r="M127" i="15" s="1"/>
  <c r="N127" i="15" a="1"/>
  <c r="N127" i="15" s="1"/>
  <c r="O127" i="15" a="1"/>
  <c r="O127" i="15" s="1"/>
  <c r="P127" i="15" a="1"/>
  <c r="P127" i="15" s="1"/>
  <c r="Q127" i="15" a="1"/>
  <c r="Q127" i="15" s="1"/>
  <c r="R127" i="15" a="1"/>
  <c r="R127" i="15" s="1"/>
  <c r="S127" i="15" a="1"/>
  <c r="S127" i="15" s="1"/>
  <c r="T127" i="15" a="1"/>
  <c r="T127" i="15" s="1"/>
  <c r="U127" i="15" a="1"/>
  <c r="U127" i="15" s="1"/>
  <c r="V127" i="15" a="1"/>
  <c r="V127" i="15" s="1"/>
  <c r="C126" i="15" a="1"/>
  <c r="C126" i="15" s="1"/>
  <c r="L3" i="39" s="1"/>
  <c r="D126" i="15" a="1"/>
  <c r="D126" i="15" s="1"/>
  <c r="L4" i="39" s="1"/>
  <c r="E126" i="15" a="1"/>
  <c r="E126" i="15" s="1"/>
  <c r="L5" i="39" s="1"/>
  <c r="F126" i="15" a="1"/>
  <c r="F126" i="15" s="1"/>
  <c r="L6" i="39" s="1"/>
  <c r="G126" i="15" a="1"/>
  <c r="G126" i="15" s="1"/>
  <c r="L7" i="39" s="1"/>
  <c r="H126" i="15" a="1"/>
  <c r="H126" i="15" s="1"/>
  <c r="L8" i="39" s="1"/>
  <c r="I126" i="15" a="1"/>
  <c r="I126" i="15" s="1"/>
  <c r="L9" i="39" s="1"/>
  <c r="J126" i="15" a="1"/>
  <c r="J126" i="15" s="1"/>
  <c r="L10" i="39" s="1"/>
  <c r="K126" i="15" a="1"/>
  <c r="K126" i="15" s="1"/>
  <c r="L11" i="39" s="1"/>
  <c r="L126" i="15" a="1"/>
  <c r="L126" i="15" s="1"/>
  <c r="L12" i="39" s="1"/>
  <c r="M126" i="15" a="1"/>
  <c r="M126" i="15" s="1"/>
  <c r="L13" i="39" s="1"/>
  <c r="N126" i="15" a="1"/>
  <c r="N126" i="15" s="1"/>
  <c r="L14" i="39" s="1"/>
  <c r="O126" i="15" a="1"/>
  <c r="O126" i="15" s="1"/>
  <c r="L15" i="39" s="1"/>
  <c r="P126" i="15" a="1"/>
  <c r="P126" i="15" s="1"/>
  <c r="L16" i="39" s="1"/>
  <c r="Q126" i="15" a="1"/>
  <c r="Q126" i="15" s="1"/>
  <c r="L17" i="39" s="1"/>
  <c r="R126" i="15" a="1"/>
  <c r="R126" i="15" s="1"/>
  <c r="L18" i="39" s="1"/>
  <c r="S126" i="15" a="1"/>
  <c r="S126" i="15" s="1"/>
  <c r="L19" i="39" s="1"/>
  <c r="T126" i="15" a="1"/>
  <c r="T126" i="15" s="1"/>
  <c r="L20" i="39" s="1"/>
  <c r="U126" i="15" a="1"/>
  <c r="U126" i="15" s="1"/>
  <c r="L21" i="39" s="1"/>
  <c r="V126" i="15" a="1"/>
  <c r="V126" i="15" s="1"/>
  <c r="L22" i="39" s="1"/>
  <c r="B128" i="15" a="1"/>
  <c r="B128" i="15" s="1"/>
  <c r="B127" i="15" a="1"/>
  <c r="B127" i="15" s="1"/>
  <c r="B126" i="15" a="1"/>
  <c r="B126" i="15" s="1"/>
  <c r="L2" i="39" s="1"/>
  <c r="C134" i="5" l="1" a="1"/>
  <c r="C134" i="5" s="1"/>
  <c r="F6" i="56" s="1"/>
  <c r="D134" i="5" a="1"/>
  <c r="D134" i="5" s="1"/>
  <c r="F7" i="56" s="1"/>
  <c r="E134" i="5" a="1"/>
  <c r="E134" i="5" s="1"/>
  <c r="F8" i="56" s="1"/>
  <c r="F134" i="5" a="1"/>
  <c r="F134" i="5" s="1"/>
  <c r="F9" i="56" s="1"/>
  <c r="G134" i="5" a="1"/>
  <c r="G134" i="5" s="1"/>
  <c r="F10" i="56" s="1"/>
  <c r="H134" i="5" a="1"/>
  <c r="H134" i="5" s="1"/>
  <c r="F11" i="56" s="1"/>
  <c r="I134" i="5" a="1"/>
  <c r="I134" i="5" s="1"/>
  <c r="F12" i="56" s="1"/>
  <c r="J134" i="5" a="1"/>
  <c r="J134" i="5" s="1"/>
  <c r="F13" i="56" s="1"/>
  <c r="K134" i="5" a="1"/>
  <c r="K134" i="5" s="1"/>
  <c r="F14" i="56" s="1"/>
  <c r="L134" i="5" a="1"/>
  <c r="L134" i="5" s="1"/>
  <c r="F15" i="56" s="1"/>
  <c r="M134" i="5" a="1"/>
  <c r="M134" i="5" s="1"/>
  <c r="F16" i="56" s="1"/>
  <c r="N134" i="5" a="1"/>
  <c r="N134" i="5" s="1"/>
  <c r="F17" i="56" s="1"/>
  <c r="O134" i="5" a="1"/>
  <c r="O134" i="5" s="1"/>
  <c r="F18" i="56" s="1"/>
  <c r="P134" i="5" a="1"/>
  <c r="P134" i="5" s="1"/>
  <c r="F19" i="56" s="1"/>
  <c r="Q134" i="5" a="1"/>
  <c r="Q134" i="5" s="1"/>
  <c r="F20" i="56" s="1"/>
  <c r="R134" i="5" a="1"/>
  <c r="R134" i="5" s="1"/>
  <c r="F21" i="56" s="1"/>
  <c r="S134" i="5" a="1"/>
  <c r="S134" i="5" s="1"/>
  <c r="F22" i="56" s="1"/>
  <c r="T134" i="5" a="1"/>
  <c r="T134" i="5" s="1"/>
  <c r="F23" i="56" s="1"/>
  <c r="U134" i="5" a="1"/>
  <c r="U134" i="5" s="1"/>
  <c r="F24" i="56" s="1"/>
  <c r="V134" i="5" a="1"/>
  <c r="V134" i="5" s="1"/>
  <c r="F25" i="56" s="1"/>
  <c r="B134" i="5" a="1"/>
  <c r="B134" i="5" s="1"/>
  <c r="F5" i="56" s="1"/>
  <c r="C130" i="5"/>
  <c r="D130" i="5"/>
  <c r="E130" i="5"/>
  <c r="F130" i="5"/>
  <c r="G130" i="5"/>
  <c r="H130" i="5"/>
  <c r="I130" i="5"/>
  <c r="J130" i="5"/>
  <c r="K130" i="5"/>
  <c r="L130" i="5"/>
  <c r="M130" i="5"/>
  <c r="N130" i="5"/>
  <c r="O130" i="5"/>
  <c r="P130" i="5"/>
  <c r="Q130" i="5"/>
  <c r="R130" i="5"/>
  <c r="S130" i="5"/>
  <c r="T130" i="5"/>
  <c r="U130" i="5"/>
  <c r="V130" i="5"/>
  <c r="C129" i="5"/>
  <c r="D129" i="5"/>
  <c r="E129" i="5"/>
  <c r="F129" i="5"/>
  <c r="G129" i="5"/>
  <c r="H129" i="5"/>
  <c r="I129" i="5"/>
  <c r="J129" i="5"/>
  <c r="K129" i="5"/>
  <c r="L129" i="5"/>
  <c r="M129" i="5"/>
  <c r="N129" i="5"/>
  <c r="O129" i="5"/>
  <c r="P129" i="5"/>
  <c r="Q129" i="5"/>
  <c r="R129" i="5"/>
  <c r="S129" i="5"/>
  <c r="T129" i="5"/>
  <c r="U129" i="5"/>
  <c r="V129" i="5"/>
  <c r="B130" i="5"/>
  <c r="B129" i="5"/>
  <c r="C127" i="5" a="1"/>
  <c r="C127" i="5" s="1"/>
  <c r="D5" i="13" s="1"/>
  <c r="D127" i="5" a="1"/>
  <c r="D127" i="5" s="1"/>
  <c r="D6" i="13" s="1"/>
  <c r="E127" i="5" a="1"/>
  <c r="E127" i="5" s="1"/>
  <c r="D7" i="13" s="1"/>
  <c r="F127" i="5" a="1"/>
  <c r="F127" i="5" s="1"/>
  <c r="D8" i="13" s="1"/>
  <c r="G127" i="5" a="1"/>
  <c r="G127" i="5" s="1"/>
  <c r="D9" i="13" s="1"/>
  <c r="H127" i="5" a="1"/>
  <c r="H127" i="5" s="1"/>
  <c r="D10" i="13" s="1"/>
  <c r="I127" i="5" a="1"/>
  <c r="I127" i="5" s="1"/>
  <c r="D11" i="13" s="1"/>
  <c r="J127" i="5" a="1"/>
  <c r="J127" i="5" s="1"/>
  <c r="D12" i="13" s="1"/>
  <c r="K127" i="5" a="1"/>
  <c r="K127" i="5" s="1"/>
  <c r="D13" i="13" s="1"/>
  <c r="L127" i="5" a="1"/>
  <c r="L127" i="5" s="1"/>
  <c r="D14" i="13" s="1"/>
  <c r="M127" i="5" a="1"/>
  <c r="M127" i="5" s="1"/>
  <c r="D15" i="13" s="1"/>
  <c r="N127" i="5" a="1"/>
  <c r="N127" i="5" s="1"/>
  <c r="D16" i="13" s="1"/>
  <c r="O127" i="5" a="1"/>
  <c r="O127" i="5" s="1"/>
  <c r="D17" i="13" s="1"/>
  <c r="P127" i="5" a="1"/>
  <c r="P127" i="5" s="1"/>
  <c r="D18" i="13" s="1"/>
  <c r="Q127" i="5" a="1"/>
  <c r="Q127" i="5" s="1"/>
  <c r="D19" i="13" s="1"/>
  <c r="R127" i="5" a="1"/>
  <c r="R127" i="5" s="1"/>
  <c r="D20" i="13" s="1"/>
  <c r="S127" i="5" a="1"/>
  <c r="S127" i="5" s="1"/>
  <c r="D21" i="13" s="1"/>
  <c r="T127" i="5" a="1"/>
  <c r="T127" i="5" s="1"/>
  <c r="D22" i="13" s="1"/>
  <c r="U127" i="5" a="1"/>
  <c r="U127" i="5" s="1"/>
  <c r="D23" i="13" s="1"/>
  <c r="V127" i="5" a="1"/>
  <c r="V127" i="5" s="1"/>
  <c r="D24" i="13" s="1"/>
  <c r="C126" i="5" a="1"/>
  <c r="C126" i="5" s="1"/>
  <c r="D126" i="5" a="1"/>
  <c r="D126" i="5" s="1"/>
  <c r="E126" i="5" a="1"/>
  <c r="E126" i="5" s="1"/>
  <c r="F126" i="5" a="1"/>
  <c r="F126" i="5" s="1"/>
  <c r="G126" i="5" a="1"/>
  <c r="G126" i="5" s="1"/>
  <c r="H126" i="5" a="1"/>
  <c r="H126" i="5" s="1"/>
  <c r="I126" i="5" a="1"/>
  <c r="I126" i="5" s="1"/>
  <c r="J126" i="5" a="1"/>
  <c r="J126" i="5" s="1"/>
  <c r="K126" i="5" a="1"/>
  <c r="K126" i="5" s="1"/>
  <c r="L126" i="5" a="1"/>
  <c r="L126" i="5" s="1"/>
  <c r="M126" i="5" a="1"/>
  <c r="M126" i="5" s="1"/>
  <c r="N126" i="5" a="1"/>
  <c r="N126" i="5" s="1"/>
  <c r="O126" i="5" a="1"/>
  <c r="O126" i="5" s="1"/>
  <c r="P126" i="5" a="1"/>
  <c r="P126" i="5" s="1"/>
  <c r="Q126" i="5" a="1"/>
  <c r="Q126" i="5" s="1"/>
  <c r="R126" i="5" a="1"/>
  <c r="R126" i="5" s="1"/>
  <c r="S126" i="5" a="1"/>
  <c r="S126" i="5" s="1"/>
  <c r="T126" i="5" a="1"/>
  <c r="T126" i="5" s="1"/>
  <c r="U126" i="5" a="1"/>
  <c r="U126" i="5" s="1"/>
  <c r="V126" i="5" a="1"/>
  <c r="V126" i="5" s="1"/>
  <c r="B127" i="5" a="1"/>
  <c r="B127" i="5" s="1"/>
  <c r="D4" i="13" s="1"/>
  <c r="B126" i="5" a="1"/>
  <c r="B126" i="5" s="1"/>
  <c r="C126" i="7" l="1" a="1"/>
  <c r="C126" i="7" s="1"/>
  <c r="D126" i="7" a="1"/>
  <c r="D126" i="7" s="1"/>
  <c r="E126" i="7" a="1"/>
  <c r="E126" i="7" s="1"/>
  <c r="F126" i="7" a="1"/>
  <c r="F126" i="7" s="1"/>
  <c r="G126" i="7" a="1"/>
  <c r="G126" i="7" s="1"/>
  <c r="H126" i="7" a="1"/>
  <c r="H126" i="7" s="1"/>
  <c r="I126" i="7" a="1"/>
  <c r="I126" i="7" s="1"/>
  <c r="J126" i="7" a="1"/>
  <c r="J126" i="7" s="1"/>
  <c r="K126" i="7" a="1"/>
  <c r="K126" i="7" s="1"/>
  <c r="L126" i="7" a="1"/>
  <c r="L126" i="7" s="1"/>
  <c r="M126" i="7" a="1"/>
  <c r="M126" i="7" s="1"/>
  <c r="N126" i="7" a="1"/>
  <c r="N126" i="7" s="1"/>
  <c r="O126" i="7" a="1"/>
  <c r="O126" i="7" s="1"/>
  <c r="P126" i="7" a="1"/>
  <c r="P126" i="7" s="1"/>
  <c r="Q126" i="7" a="1"/>
  <c r="Q126" i="7" s="1"/>
  <c r="R126" i="7" a="1"/>
  <c r="R126" i="7" s="1"/>
  <c r="S126" i="7" a="1"/>
  <c r="S126" i="7" s="1"/>
  <c r="T126" i="7" a="1"/>
  <c r="T126" i="7" s="1"/>
  <c r="U126" i="7" a="1"/>
  <c r="U126" i="7" s="1"/>
  <c r="V126" i="7" a="1"/>
  <c r="V126" i="7" s="1"/>
  <c r="C128" i="7" a="1"/>
  <c r="C128" i="7" s="1"/>
  <c r="D128" i="7" a="1"/>
  <c r="D128" i="7" s="1"/>
  <c r="E128" i="7" a="1"/>
  <c r="E128" i="7" s="1"/>
  <c r="F128" i="7" a="1"/>
  <c r="F128" i="7" s="1"/>
  <c r="G128" i="7" a="1"/>
  <c r="G128" i="7" s="1"/>
  <c r="H128" i="7" a="1"/>
  <c r="H128" i="7" s="1"/>
  <c r="I128" i="7" a="1"/>
  <c r="I128" i="7" s="1"/>
  <c r="J128" i="7" a="1"/>
  <c r="J128" i="7" s="1"/>
  <c r="K128" i="7" a="1"/>
  <c r="K128" i="7" s="1"/>
  <c r="L128" i="7" a="1"/>
  <c r="L128" i="7" s="1"/>
  <c r="M128" i="7" a="1"/>
  <c r="M128" i="7" s="1"/>
  <c r="N128" i="7" a="1"/>
  <c r="N128" i="7" s="1"/>
  <c r="O128" i="7" a="1"/>
  <c r="O128" i="7" s="1"/>
  <c r="P128" i="7" a="1"/>
  <c r="P128" i="7" s="1"/>
  <c r="Q128" i="7" a="1"/>
  <c r="Q128" i="7" s="1"/>
  <c r="R128" i="7" a="1"/>
  <c r="R128" i="7" s="1"/>
  <c r="S128" i="7" a="1"/>
  <c r="S128" i="7" s="1"/>
  <c r="T128" i="7" a="1"/>
  <c r="T128" i="7" s="1"/>
  <c r="U128" i="7" a="1"/>
  <c r="U128" i="7" s="1"/>
  <c r="V128" i="7" a="1"/>
  <c r="V128" i="7" s="1"/>
  <c r="C125" i="7" a="1"/>
  <c r="C125" i="7" s="1"/>
  <c r="D125" i="7" a="1"/>
  <c r="D125" i="7" s="1"/>
  <c r="E125" i="7" a="1"/>
  <c r="E125" i="7" s="1"/>
  <c r="F125" i="7" a="1"/>
  <c r="F125" i="7" s="1"/>
  <c r="G125" i="7" a="1"/>
  <c r="G125" i="7" s="1"/>
  <c r="H125" i="7" a="1"/>
  <c r="H125" i="7" s="1"/>
  <c r="I125" i="7" a="1"/>
  <c r="I125" i="7" s="1"/>
  <c r="J125" i="7" a="1"/>
  <c r="J125" i="7" s="1"/>
  <c r="K125" i="7" a="1"/>
  <c r="K125" i="7" s="1"/>
  <c r="L125" i="7" a="1"/>
  <c r="L125" i="7" s="1"/>
  <c r="M125" i="7" a="1"/>
  <c r="M125" i="7" s="1"/>
  <c r="N125" i="7" a="1"/>
  <c r="N125" i="7" s="1"/>
  <c r="O125" i="7" a="1"/>
  <c r="O125" i="7" s="1"/>
  <c r="P125" i="7" a="1"/>
  <c r="P125" i="7" s="1"/>
  <c r="Q125" i="7" a="1"/>
  <c r="Q125" i="7" s="1"/>
  <c r="R125" i="7" a="1"/>
  <c r="R125" i="7" s="1"/>
  <c r="S125" i="7" a="1"/>
  <c r="S125" i="7" s="1"/>
  <c r="T125" i="7" a="1"/>
  <c r="T125" i="7" s="1"/>
  <c r="U125" i="7" a="1"/>
  <c r="U125" i="7" s="1"/>
  <c r="V125" i="7" a="1"/>
  <c r="V125" i="7" s="1"/>
  <c r="B128" i="7" a="1"/>
  <c r="B128" i="7" s="1"/>
  <c r="B126" i="7" a="1"/>
  <c r="B126" i="7" s="1"/>
  <c r="B125" i="7" a="1"/>
  <c r="B125" i="7" s="1"/>
  <c r="C32" i="12" l="1"/>
  <c r="I32" i="12" l="1"/>
  <c r="H32" i="12" l="1"/>
  <c r="J32" i="12" s="1"/>
  <c r="C31" i="12" l="1"/>
  <c r="L40" i="8"/>
  <c r="I31" i="12" l="1"/>
  <c r="H31" i="12"/>
  <c r="J31" i="12" l="1"/>
  <c r="M28" i="48" l="1"/>
  <c r="M27" i="48"/>
  <c r="P14" i="48" l="1"/>
  <c r="P23" i="48"/>
  <c r="P10" i="48"/>
  <c r="P15" i="48"/>
  <c r="P6" i="48"/>
  <c r="P5" i="48"/>
  <c r="P16" i="48"/>
  <c r="P12" i="48"/>
  <c r="P20" i="48"/>
  <c r="P24" i="48"/>
  <c r="P18" i="48"/>
  <c r="P17" i="48"/>
  <c r="P7" i="48"/>
  <c r="P21" i="48"/>
  <c r="P13" i="48"/>
  <c r="P11" i="48"/>
  <c r="P9" i="48"/>
  <c r="P19" i="48"/>
  <c r="P4" i="48"/>
  <c r="P8" i="48"/>
  <c r="P22" i="48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3" i="1"/>
  <c r="AA8" i="1" l="1" a="1"/>
  <c r="AA8" i="1" s="1"/>
  <c r="AA21" i="1" a="1"/>
  <c r="AA21" i="1" s="1"/>
  <c r="AA18" i="1" a="1"/>
  <c r="AA18" i="1" s="1"/>
  <c r="AA13" i="1" a="1"/>
  <c r="AA13" i="1" s="1"/>
  <c r="AA10" i="1" a="1"/>
  <c r="AA10" i="1" s="1"/>
  <c r="AA5" i="1" a="1"/>
  <c r="AA5" i="1" s="1"/>
  <c r="AA23" i="1" a="1"/>
  <c r="AA23" i="1" s="1"/>
  <c r="AA20" i="1" a="1"/>
  <c r="AA20" i="1" s="1"/>
  <c r="AA15" i="1" a="1"/>
  <c r="AA15" i="1" s="1"/>
  <c r="AA12" i="1" a="1"/>
  <c r="AA12" i="1" s="1"/>
  <c r="AA7" i="1" a="1"/>
  <c r="AA7" i="1" s="1"/>
  <c r="AA4" i="1" a="1"/>
  <c r="AA4" i="1" s="1"/>
  <c r="AA22" i="1" a="1"/>
  <c r="AA22" i="1" s="1"/>
  <c r="AA17" i="1" a="1"/>
  <c r="AA17" i="1" s="1"/>
  <c r="AA14" i="1" a="1"/>
  <c r="AA14" i="1" s="1"/>
  <c r="AA9" i="1" a="1"/>
  <c r="AA9" i="1" s="1"/>
  <c r="AA6" i="1" a="1"/>
  <c r="AA6" i="1" s="1"/>
  <c r="AA3" i="1" a="1"/>
  <c r="AA3" i="1" s="1"/>
  <c r="AA19" i="1" a="1"/>
  <c r="AA19" i="1" s="1"/>
  <c r="AA16" i="1" a="1"/>
  <c r="AA16" i="1" s="1"/>
  <c r="AA11" i="1" a="1"/>
  <c r="AA11" i="1" s="1"/>
  <c r="R20" i="48" a="1"/>
  <c r="R20" i="48" s="1"/>
  <c r="R19" i="48" a="1"/>
  <c r="R19" i="48" s="1"/>
  <c r="R18" i="48" a="1"/>
  <c r="R18" i="48" s="1"/>
  <c r="R23" i="48" a="1"/>
  <c r="R23" i="48" s="1"/>
  <c r="R11" i="48" a="1"/>
  <c r="R11" i="48" s="1"/>
  <c r="R5" i="48" a="1"/>
  <c r="R5" i="48" s="1"/>
  <c r="R12" i="48" a="1"/>
  <c r="R12" i="48" s="1"/>
  <c r="R16" i="48" a="1"/>
  <c r="R16" i="48" s="1"/>
  <c r="R6" i="48" a="1"/>
  <c r="R6" i="48" s="1"/>
  <c r="R13" i="48" a="1"/>
  <c r="R13" i="48" s="1"/>
  <c r="R9" i="48" a="1"/>
  <c r="R9" i="48" s="1"/>
  <c r="R4" i="48" a="1"/>
  <c r="R4" i="48" s="1"/>
  <c r="R15" i="48" a="1"/>
  <c r="R15" i="48" s="1"/>
  <c r="R10" i="48" a="1"/>
  <c r="R10" i="48" s="1"/>
  <c r="R14" i="48" a="1"/>
  <c r="R14" i="48" s="1"/>
  <c r="R24" i="48" a="1"/>
  <c r="R24" i="48" s="1"/>
  <c r="R7" i="48" a="1"/>
  <c r="R7" i="48" s="1"/>
  <c r="R21" i="48" a="1"/>
  <c r="R21" i="48" s="1"/>
  <c r="R17" i="48" a="1"/>
  <c r="R17" i="48" s="1"/>
  <c r="R22" i="48" a="1"/>
  <c r="R22" i="48" s="1"/>
  <c r="R8" i="48" a="1"/>
  <c r="R8" i="48" s="1"/>
  <c r="B136" i="5" a="1"/>
  <c r="B136" i="5" s="1"/>
  <c r="R136" i="5" a="1"/>
  <c r="R136" i="5" s="1"/>
  <c r="C136" i="5" a="1"/>
  <c r="C136" i="5" s="1"/>
  <c r="P136" i="5" a="1"/>
  <c r="P136" i="5" s="1"/>
  <c r="M136" i="5" a="1"/>
  <c r="M136" i="5" s="1"/>
  <c r="U136" i="5" a="1"/>
  <c r="U136" i="5" s="1"/>
  <c r="F136" i="5" a="1"/>
  <c r="F136" i="5" s="1"/>
  <c r="V136" i="5" a="1"/>
  <c r="V136" i="5" s="1"/>
  <c r="E136" i="5" a="1"/>
  <c r="E136" i="5" s="1"/>
  <c r="T136" i="5" a="1"/>
  <c r="T136" i="5" s="1"/>
  <c r="G136" i="5" a="1"/>
  <c r="G136" i="5" s="1"/>
  <c r="O136" i="5" a="1"/>
  <c r="O136" i="5" s="1"/>
  <c r="J136" i="5" a="1"/>
  <c r="J136" i="5" s="1"/>
  <c r="D136" i="5" a="1"/>
  <c r="D136" i="5" s="1"/>
  <c r="H136" i="5" a="1"/>
  <c r="H136" i="5" s="1"/>
  <c r="I136" i="5" a="1"/>
  <c r="I136" i="5" s="1"/>
  <c r="Q136" i="5" a="1"/>
  <c r="Q136" i="5" s="1"/>
  <c r="N136" i="5" a="1"/>
  <c r="N136" i="5" s="1"/>
  <c r="L136" i="5" a="1"/>
  <c r="L136" i="5" s="1"/>
  <c r="K136" i="5" a="1"/>
  <c r="K136" i="5" s="1"/>
  <c r="S136" i="5" a="1"/>
  <c r="S136" i="5" s="1"/>
  <c r="W11" i="45"/>
  <c r="W12" i="45"/>
  <c r="W13" i="45"/>
  <c r="W14" i="45"/>
  <c r="W15" i="45"/>
  <c r="W16" i="45"/>
  <c r="W17" i="45"/>
  <c r="W18" i="45"/>
  <c r="W19" i="45"/>
  <c r="W20" i="45"/>
  <c r="W21" i="45"/>
  <c r="W22" i="45"/>
  <c r="W23" i="45"/>
  <c r="W24" i="45"/>
  <c r="W25" i="45"/>
  <c r="W26" i="45"/>
  <c r="W27" i="45"/>
  <c r="W28" i="45"/>
  <c r="W29" i="45"/>
  <c r="W30" i="45"/>
  <c r="W31" i="45"/>
  <c r="W32" i="45"/>
  <c r="W33" i="45"/>
  <c r="W34" i="45"/>
  <c r="W35" i="45"/>
  <c r="W36" i="45"/>
  <c r="W37" i="45"/>
  <c r="W38" i="45"/>
  <c r="W39" i="45"/>
  <c r="W40" i="45"/>
  <c r="W41" i="45"/>
  <c r="W42" i="45"/>
  <c r="W43" i="45"/>
  <c r="W44" i="45"/>
  <c r="W45" i="45"/>
  <c r="W46" i="45"/>
  <c r="W47" i="45"/>
  <c r="W48" i="45"/>
  <c r="W49" i="45"/>
  <c r="W50" i="45"/>
  <c r="W51" i="45"/>
  <c r="W52" i="45"/>
  <c r="W53" i="45"/>
  <c r="W54" i="45"/>
  <c r="W55" i="45"/>
  <c r="W56" i="45"/>
  <c r="W57" i="45"/>
  <c r="W58" i="45"/>
  <c r="W59" i="45"/>
  <c r="W60" i="45"/>
  <c r="W61" i="45"/>
  <c r="W62" i="45"/>
  <c r="W63" i="45"/>
  <c r="W64" i="45"/>
  <c r="W65" i="45"/>
  <c r="W66" i="45"/>
  <c r="W67" i="45"/>
  <c r="W68" i="45"/>
  <c r="W69" i="45"/>
  <c r="W70" i="45"/>
  <c r="W71" i="45"/>
  <c r="W72" i="45"/>
  <c r="W73" i="45"/>
  <c r="W74" i="45"/>
  <c r="W75" i="45"/>
  <c r="W76" i="45"/>
  <c r="W77" i="45"/>
  <c r="W78" i="45"/>
  <c r="W79" i="45"/>
  <c r="W80" i="45"/>
  <c r="W81" i="45"/>
  <c r="W82" i="45"/>
  <c r="W83" i="45"/>
  <c r="W84" i="45"/>
  <c r="W85" i="45"/>
  <c r="W86" i="45"/>
  <c r="W87" i="45"/>
  <c r="W88" i="45"/>
  <c r="W89" i="45"/>
  <c r="W90" i="45"/>
  <c r="W91" i="45"/>
  <c r="W92" i="45"/>
  <c r="W93" i="45"/>
  <c r="W94" i="45"/>
  <c r="W95" i="45"/>
  <c r="W96" i="45"/>
  <c r="W97" i="45"/>
  <c r="W98" i="45"/>
  <c r="W99" i="45"/>
  <c r="W100" i="45"/>
  <c r="W101" i="45"/>
  <c r="W102" i="45"/>
  <c r="W103" i="45"/>
  <c r="W104" i="45"/>
  <c r="W105" i="45"/>
  <c r="W106" i="45"/>
  <c r="W107" i="45"/>
  <c r="W108" i="45"/>
  <c r="W109" i="45"/>
  <c r="W110" i="45"/>
  <c r="W111" i="45"/>
  <c r="W112" i="45"/>
  <c r="W113" i="45"/>
  <c r="W114" i="45"/>
  <c r="W115" i="45"/>
  <c r="W116" i="45"/>
  <c r="W117" i="45"/>
  <c r="W118" i="45"/>
  <c r="W119" i="45"/>
  <c r="W120" i="45"/>
  <c r="W121" i="45"/>
  <c r="W122" i="45"/>
  <c r="W123" i="45"/>
  <c r="W124" i="45"/>
  <c r="W125" i="45"/>
  <c r="W126" i="45"/>
  <c r="W127" i="45"/>
  <c r="W128" i="45"/>
  <c r="W129" i="45"/>
  <c r="W130" i="45"/>
  <c r="W131" i="45"/>
  <c r="W132" i="45"/>
  <c r="W133" i="45"/>
  <c r="W134" i="45"/>
  <c r="W135" i="45"/>
  <c r="W136" i="45"/>
  <c r="W137" i="45"/>
  <c r="W138" i="45"/>
  <c r="W139" i="45"/>
  <c r="W140" i="45"/>
  <c r="W141" i="45"/>
  <c r="W142" i="45"/>
  <c r="W143" i="45"/>
  <c r="W144" i="45"/>
  <c r="W145" i="45"/>
  <c r="W146" i="45"/>
  <c r="W147" i="45"/>
  <c r="W148" i="45"/>
  <c r="W149" i="45"/>
  <c r="W150" i="45"/>
  <c r="W151" i="45"/>
  <c r="W152" i="45"/>
  <c r="W153" i="45"/>
  <c r="W154" i="45"/>
  <c r="W155" i="45"/>
  <c r="W156" i="45"/>
  <c r="W157" i="45"/>
  <c r="W158" i="45"/>
  <c r="W159" i="45"/>
  <c r="W160" i="45"/>
  <c r="W161" i="45"/>
  <c r="W162" i="45"/>
  <c r="W163" i="45"/>
  <c r="W164" i="45"/>
  <c r="W165" i="45"/>
  <c r="W10" i="45"/>
  <c r="K127" i="47" a="1"/>
  <c r="K127" i="47" s="1"/>
  <c r="L127" i="47" a="1"/>
  <c r="L127" i="47" s="1"/>
  <c r="M127" i="47" a="1"/>
  <c r="M127" i="47" s="1"/>
  <c r="N127" i="47" a="1"/>
  <c r="N127" i="47" s="1"/>
  <c r="O127" i="47" a="1"/>
  <c r="O127" i="47" s="1"/>
  <c r="P127" i="47" a="1"/>
  <c r="P127" i="47" s="1"/>
  <c r="Q127" i="47" a="1"/>
  <c r="Q127" i="47" s="1"/>
  <c r="S127" i="47" a="1"/>
  <c r="S127" i="47" s="1"/>
  <c r="T127" i="47" a="1"/>
  <c r="T127" i="47" s="1"/>
  <c r="U127" i="47" a="1"/>
  <c r="U127" i="47" s="1"/>
  <c r="V127" i="47" a="1"/>
  <c r="V127" i="47" s="1"/>
  <c r="C127" i="47" a="1"/>
  <c r="C127" i="47" s="1"/>
  <c r="D127" i="47" a="1"/>
  <c r="D127" i="47" s="1"/>
  <c r="E127" i="47" a="1"/>
  <c r="E127" i="47" s="1"/>
  <c r="F127" i="47" a="1"/>
  <c r="F127" i="47" s="1"/>
  <c r="G127" i="47" a="1"/>
  <c r="G127" i="47" s="1"/>
  <c r="H127" i="47" a="1"/>
  <c r="H127" i="47" s="1"/>
  <c r="I127" i="47" a="1"/>
  <c r="I127" i="47" s="1"/>
  <c r="J127" i="47" a="1"/>
  <c r="J127" i="47" s="1"/>
  <c r="C125" i="47" a="1"/>
  <c r="C125" i="47" s="1"/>
  <c r="D125" i="47" a="1"/>
  <c r="D125" i="47" s="1"/>
  <c r="E125" i="47" a="1"/>
  <c r="E125" i="47" s="1"/>
  <c r="F125" i="47" a="1"/>
  <c r="F125" i="47" s="1"/>
  <c r="G125" i="47" a="1"/>
  <c r="G125" i="47" s="1"/>
  <c r="H125" i="47" a="1"/>
  <c r="H125" i="47" s="1"/>
  <c r="I125" i="47" a="1"/>
  <c r="I125" i="47" s="1"/>
  <c r="J125" i="47" a="1"/>
  <c r="J125" i="47" s="1"/>
  <c r="K125" i="47" a="1"/>
  <c r="K125" i="47" s="1"/>
  <c r="L125" i="47" a="1"/>
  <c r="L125" i="47" s="1"/>
  <c r="M125" i="47" a="1"/>
  <c r="M125" i="47" s="1"/>
  <c r="N125" i="47" a="1"/>
  <c r="N125" i="47" s="1"/>
  <c r="O125" i="47" a="1"/>
  <c r="O125" i="47" s="1"/>
  <c r="P125" i="47" a="1"/>
  <c r="P125" i="47" s="1"/>
  <c r="Q125" i="47" a="1"/>
  <c r="Q125" i="47" s="1"/>
  <c r="S125" i="47" a="1"/>
  <c r="S125" i="47" s="1"/>
  <c r="T125" i="47" a="1"/>
  <c r="T125" i="47" s="1"/>
  <c r="U125" i="47" a="1"/>
  <c r="U125" i="47" s="1"/>
  <c r="V125" i="47" a="1"/>
  <c r="V125" i="47" s="1"/>
  <c r="C124" i="47" a="1"/>
  <c r="C124" i="47" s="1"/>
  <c r="D124" i="47" a="1"/>
  <c r="D124" i="47" s="1"/>
  <c r="E124" i="47" a="1"/>
  <c r="E124" i="47" s="1"/>
  <c r="F124" i="47" a="1"/>
  <c r="F124" i="47" s="1"/>
  <c r="G124" i="47" a="1"/>
  <c r="G124" i="47" s="1"/>
  <c r="H124" i="47" a="1"/>
  <c r="H124" i="47" s="1"/>
  <c r="I124" i="47" a="1"/>
  <c r="I124" i="47" s="1"/>
  <c r="J124" i="47" a="1"/>
  <c r="J124" i="47" s="1"/>
  <c r="K124" i="47" a="1"/>
  <c r="K124" i="47" s="1"/>
  <c r="L124" i="47" a="1"/>
  <c r="L124" i="47" s="1"/>
  <c r="M124" i="47" a="1"/>
  <c r="M124" i="47" s="1"/>
  <c r="N124" i="47" a="1"/>
  <c r="N124" i="47" s="1"/>
  <c r="O124" i="47" a="1"/>
  <c r="O124" i="47" s="1"/>
  <c r="P124" i="47" a="1"/>
  <c r="P124" i="47" s="1"/>
  <c r="Q124" i="47" a="1"/>
  <c r="Q124" i="47" s="1"/>
  <c r="S124" i="47" a="1"/>
  <c r="S124" i="47" s="1"/>
  <c r="T124" i="47" a="1"/>
  <c r="T124" i="47" s="1"/>
  <c r="U124" i="47" a="1"/>
  <c r="U124" i="47" s="1"/>
  <c r="V124" i="47" a="1"/>
  <c r="V124" i="47" s="1"/>
  <c r="B127" i="47" a="1"/>
  <c r="B127" i="47" s="1"/>
  <c r="B125" i="47" a="1"/>
  <c r="B125" i="47" s="1"/>
  <c r="B124" i="47" a="1"/>
  <c r="B124" i="47" s="1"/>
  <c r="S6" i="48" l="1"/>
  <c r="AG5" i="12"/>
  <c r="S11" i="48"/>
  <c r="AG10" i="12"/>
  <c r="S19" i="48"/>
  <c r="AG18" i="12"/>
  <c r="S22" i="48"/>
  <c r="AG21" i="12"/>
  <c r="S17" i="48"/>
  <c r="AG16" i="12"/>
  <c r="S21" i="48"/>
  <c r="AG20" i="12"/>
  <c r="S7" i="48"/>
  <c r="AG6" i="12"/>
  <c r="S24" i="48"/>
  <c r="AG23" i="12"/>
  <c r="S14" i="48"/>
  <c r="AG13" i="12"/>
  <c r="S9" i="48"/>
  <c r="AG8" i="12"/>
  <c r="S5" i="48"/>
  <c r="AG4" i="12"/>
  <c r="S18" i="48"/>
  <c r="AG17" i="12"/>
  <c r="S8" i="48"/>
  <c r="AG7" i="12"/>
  <c r="S10" i="48"/>
  <c r="AG9" i="12"/>
  <c r="S13" i="48"/>
  <c r="AG12" i="12"/>
  <c r="S12" i="48"/>
  <c r="AG11" i="12"/>
  <c r="S20" i="48"/>
  <c r="AG19" i="12"/>
  <c r="S15" i="48"/>
  <c r="AG14" i="12"/>
  <c r="S16" i="48"/>
  <c r="AG15" i="12"/>
  <c r="S23" i="48"/>
  <c r="AG22" i="12"/>
  <c r="S4" i="48"/>
  <c r="AG3" i="12"/>
  <c r="R124" i="47" a="1"/>
  <c r="R124" i="47" s="1"/>
  <c r="R125" i="47" a="1"/>
  <c r="R125" i="47" s="1"/>
  <c r="R127" i="47" a="1"/>
  <c r="R127" i="47" s="1"/>
  <c r="T15" i="48" l="1" a="1"/>
  <c r="T15" i="48" s="1"/>
  <c r="T9" i="48" a="1"/>
  <c r="T9" i="48" s="1"/>
  <c r="T13" i="48" a="1"/>
  <c r="T13" i="48" s="1"/>
  <c r="T20" i="48" a="1"/>
  <c r="T20" i="48" s="1"/>
  <c r="T24" i="48" a="1"/>
  <c r="T24" i="48" s="1"/>
  <c r="T4" i="48" a="1"/>
  <c r="T4" i="48" s="1"/>
  <c r="T23" i="48" a="1"/>
  <c r="T23" i="48" s="1"/>
  <c r="T21" i="48" a="1"/>
  <c r="T21" i="48" s="1"/>
  <c r="T10" i="48" a="1"/>
  <c r="T10" i="48" s="1"/>
  <c r="T8" i="48" a="1"/>
  <c r="T8" i="48" s="1"/>
  <c r="T7" i="48" a="1"/>
  <c r="T7" i="48" s="1"/>
  <c r="T18" i="48" a="1"/>
  <c r="T18" i="48" s="1"/>
  <c r="T5" i="48" a="1"/>
  <c r="T5" i="48" s="1"/>
  <c r="T6" i="48" a="1"/>
  <c r="T6" i="48" s="1"/>
  <c r="T19" i="48" a="1"/>
  <c r="T19" i="48" s="1"/>
  <c r="T17" i="48" a="1"/>
  <c r="T17" i="48" s="1"/>
  <c r="T11" i="48" a="1"/>
  <c r="T11" i="48" s="1"/>
  <c r="T16" i="48" a="1"/>
  <c r="T16" i="48" s="1"/>
  <c r="T14" i="48" a="1"/>
  <c r="T14" i="48" s="1"/>
  <c r="T22" i="48" a="1"/>
  <c r="T22" i="48" s="1"/>
  <c r="T12" i="48" a="1"/>
  <c r="T12" i="48" s="1"/>
  <c r="B127" i="46" a="1"/>
  <c r="B127" i="46" s="1"/>
  <c r="B125" i="46" a="1"/>
  <c r="B125" i="46" s="1"/>
  <c r="B124" i="46" a="1"/>
  <c r="B124" i="46" s="1"/>
  <c r="U127" i="46" a="1"/>
  <c r="U127" i="46" s="1"/>
  <c r="U125" i="46" a="1"/>
  <c r="U125" i="46" s="1"/>
  <c r="U124" i="46" a="1"/>
  <c r="U124" i="46" s="1"/>
  <c r="E127" i="46" a="1"/>
  <c r="E127" i="46" s="1"/>
  <c r="E125" i="46" a="1"/>
  <c r="E125" i="46" s="1"/>
  <c r="E124" i="46" a="1"/>
  <c r="E124" i="46" s="1"/>
  <c r="P127" i="46" a="1"/>
  <c r="P127" i="46" s="1"/>
  <c r="P125" i="46" a="1"/>
  <c r="P125" i="46" s="1"/>
  <c r="P124" i="46" a="1"/>
  <c r="P124" i="46" s="1"/>
  <c r="H127" i="46" a="1"/>
  <c r="H127" i="46" s="1"/>
  <c r="H125" i="46" a="1"/>
  <c r="H125" i="46" s="1"/>
  <c r="H124" i="46" a="1"/>
  <c r="H124" i="46" s="1"/>
  <c r="S127" i="46" a="1"/>
  <c r="S127" i="46" s="1"/>
  <c r="S124" i="46" a="1"/>
  <c r="S124" i="46" s="1"/>
  <c r="S125" i="46" a="1"/>
  <c r="S125" i="46" s="1"/>
  <c r="K125" i="46" a="1"/>
  <c r="K125" i="46" s="1"/>
  <c r="K127" i="46" a="1"/>
  <c r="K127" i="46" s="1"/>
  <c r="K124" i="46" a="1"/>
  <c r="K124" i="46" s="1"/>
  <c r="C127" i="46" a="1"/>
  <c r="C127" i="46" s="1"/>
  <c r="C124" i="46" a="1"/>
  <c r="C124" i="46" s="1"/>
  <c r="C125" i="46" a="1"/>
  <c r="C125" i="46" s="1"/>
  <c r="R125" i="46" a="1"/>
  <c r="R125" i="46" s="1"/>
  <c r="R124" i="46" a="1"/>
  <c r="R124" i="46" s="1"/>
  <c r="R127" i="46" a="1"/>
  <c r="R127" i="46" s="1"/>
  <c r="V127" i="46" a="1"/>
  <c r="V127" i="46" s="1"/>
  <c r="V124" i="46" a="1"/>
  <c r="V124" i="46" s="1"/>
  <c r="V125" i="46" a="1"/>
  <c r="V125" i="46" s="1"/>
  <c r="N127" i="46" a="1"/>
  <c r="N127" i="46" s="1"/>
  <c r="N124" i="46" a="1"/>
  <c r="N124" i="46" s="1"/>
  <c r="N125" i="46" a="1"/>
  <c r="N125" i="46" s="1"/>
  <c r="F127" i="46" a="1"/>
  <c r="F127" i="46" s="1"/>
  <c r="F124" i="46" a="1"/>
  <c r="F124" i="46" s="1"/>
  <c r="F125" i="46" a="1"/>
  <c r="F125" i="46" s="1"/>
  <c r="Q127" i="46" a="1"/>
  <c r="Q127" i="46" s="1"/>
  <c r="Q125" i="46" a="1"/>
  <c r="Q125" i="46" s="1"/>
  <c r="Q124" i="46" a="1"/>
  <c r="Q124" i="46" s="1"/>
  <c r="I127" i="46" a="1"/>
  <c r="I127" i="46" s="1"/>
  <c r="I124" i="46" a="1"/>
  <c r="I124" i="46" s="1"/>
  <c r="I125" i="46" a="1"/>
  <c r="I125" i="46" s="1"/>
  <c r="J127" i="46" a="1"/>
  <c r="J127" i="46" s="1"/>
  <c r="J124" i="46" a="1"/>
  <c r="J124" i="46" s="1"/>
  <c r="J125" i="46" a="1"/>
  <c r="J125" i="46" s="1"/>
  <c r="M127" i="46" a="1"/>
  <c r="M127" i="46" s="1"/>
  <c r="M125" i="46" a="1"/>
  <c r="M125" i="46" s="1"/>
  <c r="M124" i="46" a="1"/>
  <c r="M124" i="46" s="1"/>
  <c r="T127" i="46" a="1"/>
  <c r="T127" i="46" s="1"/>
  <c r="T124" i="46" a="1"/>
  <c r="T124" i="46" s="1"/>
  <c r="T125" i="46" a="1"/>
  <c r="T125" i="46" s="1"/>
  <c r="L127" i="46" a="1"/>
  <c r="L127" i="46" s="1"/>
  <c r="L125" i="46" a="1"/>
  <c r="L125" i="46" s="1"/>
  <c r="L124" i="46" a="1"/>
  <c r="L124" i="46" s="1"/>
  <c r="D127" i="46" a="1"/>
  <c r="D127" i="46" s="1"/>
  <c r="D124" i="46" a="1"/>
  <c r="D124" i="46" s="1"/>
  <c r="D125" i="46" a="1"/>
  <c r="D125" i="46" s="1"/>
  <c r="O127" i="46" a="1"/>
  <c r="O127" i="46" s="1"/>
  <c r="O125" i="46" a="1"/>
  <c r="O125" i="46" s="1"/>
  <c r="O124" i="46" a="1"/>
  <c r="O124" i="46" s="1"/>
  <c r="G127" i="46" a="1"/>
  <c r="G127" i="46" s="1"/>
  <c r="G124" i="46" a="1"/>
  <c r="G124" i="46" s="1"/>
  <c r="G125" i="46" a="1"/>
  <c r="G125" i="46" s="1"/>
  <c r="B138" i="15" l="1" a="1"/>
  <c r="B138" i="15" s="1"/>
  <c r="I4" i="13" s="1"/>
  <c r="C138" i="15" a="1"/>
  <c r="C138" i="15" s="1"/>
  <c r="I5" i="13" s="1"/>
  <c r="D138" i="15" a="1"/>
  <c r="D138" i="15" s="1"/>
  <c r="I6" i="13" s="1"/>
  <c r="E138" i="15" a="1"/>
  <c r="E138" i="15" s="1"/>
  <c r="I7" i="13" s="1"/>
  <c r="F138" i="15" a="1"/>
  <c r="F138" i="15" s="1"/>
  <c r="I8" i="13" s="1"/>
  <c r="G138" i="15" a="1"/>
  <c r="G138" i="15" s="1"/>
  <c r="I9" i="13" s="1"/>
  <c r="H138" i="15" a="1"/>
  <c r="H138" i="15" s="1"/>
  <c r="I10" i="13" s="1"/>
  <c r="I138" i="15" a="1"/>
  <c r="I138" i="15" s="1"/>
  <c r="I11" i="13" s="1"/>
  <c r="J138" i="15" a="1"/>
  <c r="J138" i="15" s="1"/>
  <c r="I12" i="13" s="1"/>
  <c r="K138" i="15" a="1"/>
  <c r="K138" i="15" s="1"/>
  <c r="I13" i="13" s="1"/>
  <c r="L138" i="15" a="1"/>
  <c r="L138" i="15" s="1"/>
  <c r="I14" i="13" s="1"/>
  <c r="M138" i="15" a="1"/>
  <c r="M138" i="15" s="1"/>
  <c r="I15" i="13" s="1"/>
  <c r="N138" i="15" a="1"/>
  <c r="N138" i="15" s="1"/>
  <c r="I16" i="13" s="1"/>
  <c r="O138" i="15" a="1"/>
  <c r="O138" i="15" s="1"/>
  <c r="I17" i="13" s="1"/>
  <c r="P138" i="15" a="1"/>
  <c r="P138" i="15" s="1"/>
  <c r="I18" i="13" s="1"/>
  <c r="Q138" i="15" a="1"/>
  <c r="Q138" i="15" s="1"/>
  <c r="I19" i="13" s="1"/>
  <c r="R138" i="15" a="1"/>
  <c r="R138" i="15" s="1"/>
  <c r="I20" i="13" s="1"/>
  <c r="S138" i="15" a="1"/>
  <c r="S138" i="15" s="1"/>
  <c r="I21" i="13" s="1"/>
  <c r="T138" i="15" a="1"/>
  <c r="T138" i="15" s="1"/>
  <c r="I22" i="13" s="1"/>
  <c r="U138" i="15" a="1"/>
  <c r="U138" i="15" s="1"/>
  <c r="I23" i="13" s="1"/>
  <c r="V138" i="15" a="1"/>
  <c r="V138" i="15" s="1"/>
  <c r="I24" i="13" s="1"/>
  <c r="B137" i="15" a="1"/>
  <c r="B137" i="15" s="1"/>
  <c r="C137" i="15" a="1"/>
  <c r="C137" i="15" s="1"/>
  <c r="D137" i="15" a="1"/>
  <c r="D137" i="15" s="1"/>
  <c r="E137" i="15" a="1"/>
  <c r="E137" i="15" s="1"/>
  <c r="F137" i="15" a="1"/>
  <c r="F137" i="15" s="1"/>
  <c r="G137" i="15" a="1"/>
  <c r="G137" i="15" s="1"/>
  <c r="H137" i="15" a="1"/>
  <c r="H137" i="15" s="1"/>
  <c r="I137" i="15" a="1"/>
  <c r="I137" i="15" s="1"/>
  <c r="J137" i="15" a="1"/>
  <c r="J137" i="15" s="1"/>
  <c r="K137" i="15" a="1"/>
  <c r="K137" i="15" s="1"/>
  <c r="L137" i="15" a="1"/>
  <c r="L137" i="15" s="1"/>
  <c r="M137" i="15" a="1"/>
  <c r="M137" i="15" s="1"/>
  <c r="N137" i="15" a="1"/>
  <c r="N137" i="15" s="1"/>
  <c r="O137" i="15" a="1"/>
  <c r="O137" i="15" s="1"/>
  <c r="P137" i="15" a="1"/>
  <c r="P137" i="15" s="1"/>
  <c r="Q137" i="15" a="1"/>
  <c r="Q137" i="15" s="1"/>
  <c r="R137" i="15" a="1"/>
  <c r="R137" i="15" s="1"/>
  <c r="S137" i="15" a="1"/>
  <c r="S137" i="15" s="1"/>
  <c r="T137" i="15" a="1"/>
  <c r="T137" i="15" s="1"/>
  <c r="U137" i="15" a="1"/>
  <c r="U137" i="15" s="1"/>
  <c r="V137" i="15" a="1"/>
  <c r="V137" i="15" s="1"/>
  <c r="V136" i="15" a="1"/>
  <c r="V136" i="15" s="1"/>
  <c r="U136" i="15" a="1"/>
  <c r="U136" i="15" s="1"/>
  <c r="T136" i="15" a="1"/>
  <c r="T136" i="15" s="1"/>
  <c r="S136" i="15" a="1"/>
  <c r="S136" i="15" s="1"/>
  <c r="R136" i="15" a="1"/>
  <c r="R136" i="15" s="1"/>
  <c r="Q136" i="15" a="1"/>
  <c r="Q136" i="15" s="1"/>
  <c r="P136" i="15" a="1"/>
  <c r="P136" i="15" s="1"/>
  <c r="O136" i="15" a="1"/>
  <c r="O136" i="15" s="1"/>
  <c r="N136" i="15" a="1"/>
  <c r="N136" i="15" s="1"/>
  <c r="M136" i="15" a="1"/>
  <c r="M136" i="15" s="1"/>
  <c r="L136" i="15" a="1"/>
  <c r="L136" i="15" s="1"/>
  <c r="K136" i="15" a="1"/>
  <c r="K136" i="15" s="1"/>
  <c r="J136" i="15" a="1"/>
  <c r="J136" i="15" s="1"/>
  <c r="I136" i="15" a="1"/>
  <c r="I136" i="15" s="1"/>
  <c r="H136" i="15" a="1"/>
  <c r="H136" i="15" s="1"/>
  <c r="G136" i="15" a="1"/>
  <c r="G136" i="15" s="1"/>
  <c r="F136" i="15" a="1"/>
  <c r="F136" i="15" s="1"/>
  <c r="E136" i="15" a="1"/>
  <c r="E136" i="15" s="1"/>
  <c r="D136" i="15" a="1"/>
  <c r="D136" i="15" s="1"/>
  <c r="C136" i="15" a="1"/>
  <c r="C136" i="15" s="1"/>
  <c r="B136" i="15" a="1"/>
  <c r="B136" i="15" s="1"/>
  <c r="N14" i="8"/>
  <c r="N13" i="8"/>
  <c r="F4" i="43" l="1"/>
  <c r="F5" i="43"/>
  <c r="F6" i="43"/>
  <c r="F7" i="43"/>
  <c r="F8" i="43"/>
  <c r="F9" i="43"/>
  <c r="F10" i="43"/>
  <c r="F11" i="43"/>
  <c r="F12" i="43"/>
  <c r="F13" i="43"/>
  <c r="F14" i="43"/>
  <c r="F15" i="43"/>
  <c r="F16" i="43"/>
  <c r="F17" i="43"/>
  <c r="F18" i="43"/>
  <c r="F19" i="43"/>
  <c r="F20" i="43"/>
  <c r="F21" i="43"/>
  <c r="F22" i="43"/>
  <c r="F23" i="43"/>
  <c r="F3" i="43" l="1"/>
  <c r="P4" i="42"/>
  <c r="P5" i="42"/>
  <c r="P6" i="42"/>
  <c r="P7" i="42"/>
  <c r="P8" i="42"/>
  <c r="P9" i="42"/>
  <c r="P10" i="42"/>
  <c r="P11" i="42"/>
  <c r="P12" i="42"/>
  <c r="P13" i="42"/>
  <c r="P14" i="42"/>
  <c r="P15" i="42"/>
  <c r="P16" i="42"/>
  <c r="P17" i="42"/>
  <c r="P18" i="42"/>
  <c r="P19" i="42"/>
  <c r="P20" i="42"/>
  <c r="P21" i="42"/>
  <c r="P22" i="42"/>
  <c r="P23" i="42"/>
  <c r="P3" i="42"/>
  <c r="N4" i="42"/>
  <c r="N5" i="42"/>
  <c r="N6" i="42"/>
  <c r="N7" i="42"/>
  <c r="N8" i="42"/>
  <c r="N9" i="42"/>
  <c r="N10" i="42"/>
  <c r="N11" i="42"/>
  <c r="N12" i="42"/>
  <c r="N13" i="42"/>
  <c r="N14" i="42"/>
  <c r="N15" i="42"/>
  <c r="N16" i="42"/>
  <c r="N17" i="42"/>
  <c r="N18" i="42"/>
  <c r="N19" i="42"/>
  <c r="N20" i="42"/>
  <c r="N21" i="42"/>
  <c r="N22" i="42"/>
  <c r="N23" i="42"/>
  <c r="N3" i="42"/>
  <c r="M4" i="42"/>
  <c r="M5" i="42"/>
  <c r="M6" i="42"/>
  <c r="M7" i="42"/>
  <c r="M8" i="42"/>
  <c r="M9" i="42"/>
  <c r="M10" i="42"/>
  <c r="M11" i="42"/>
  <c r="M12" i="42"/>
  <c r="M13" i="42"/>
  <c r="M14" i="42"/>
  <c r="M15" i="42"/>
  <c r="M16" i="42"/>
  <c r="M17" i="42"/>
  <c r="M18" i="42"/>
  <c r="M19" i="42"/>
  <c r="M20" i="42"/>
  <c r="M21" i="42"/>
  <c r="M22" i="42"/>
  <c r="M23" i="42"/>
  <c r="M3" i="42"/>
  <c r="L4" i="42"/>
  <c r="L5" i="42"/>
  <c r="L6" i="42"/>
  <c r="L7" i="42"/>
  <c r="L8" i="42"/>
  <c r="L9" i="42"/>
  <c r="L10" i="42"/>
  <c r="L11" i="42"/>
  <c r="L12" i="42"/>
  <c r="L13" i="42"/>
  <c r="L14" i="42"/>
  <c r="L15" i="42"/>
  <c r="L16" i="42"/>
  <c r="L17" i="42"/>
  <c r="L18" i="42"/>
  <c r="L19" i="42"/>
  <c r="L20" i="42"/>
  <c r="L21" i="42"/>
  <c r="L22" i="42"/>
  <c r="L23" i="42"/>
  <c r="L3" i="42"/>
  <c r="J9" i="43" l="1" a="1"/>
  <c r="J9" i="43" s="1"/>
  <c r="Q9" i="42" s="1"/>
  <c r="J12" i="43" a="1"/>
  <c r="J12" i="43" s="1"/>
  <c r="Q12" i="42" s="1"/>
  <c r="J15" i="43" a="1"/>
  <c r="J15" i="43" s="1"/>
  <c r="Q15" i="42" s="1"/>
  <c r="J19" i="43" a="1"/>
  <c r="J19" i="43" s="1"/>
  <c r="Q19" i="42" s="1"/>
  <c r="J13" i="43" a="1"/>
  <c r="J13" i="43" s="1"/>
  <c r="Q13" i="42" s="1"/>
  <c r="J22" i="43" a="1"/>
  <c r="J22" i="43" s="1"/>
  <c r="Q22" i="42" s="1"/>
  <c r="J18" i="43" a="1"/>
  <c r="J18" i="43" s="1"/>
  <c r="Q18" i="42" s="1"/>
  <c r="J6" i="43" a="1"/>
  <c r="J6" i="43" s="1"/>
  <c r="Q6" i="42" s="1"/>
  <c r="J10" i="43" a="1"/>
  <c r="J10" i="43" s="1"/>
  <c r="Q10" i="42" s="1"/>
  <c r="J16" i="43" a="1"/>
  <c r="J16" i="43" s="1"/>
  <c r="Q16" i="42" s="1"/>
  <c r="J3" i="43" a="1"/>
  <c r="J3" i="43" s="1"/>
  <c r="Q3" i="42" s="1"/>
  <c r="J4" i="43" a="1"/>
  <c r="J4" i="43" s="1"/>
  <c r="Q4" i="42" s="1"/>
  <c r="J7" i="43" a="1"/>
  <c r="J7" i="43" s="1"/>
  <c r="Q7" i="42" s="1"/>
  <c r="J11" i="43" a="1"/>
  <c r="J11" i="43" s="1"/>
  <c r="Q11" i="42" s="1"/>
  <c r="J17" i="43" a="1"/>
  <c r="J17" i="43" s="1"/>
  <c r="Q17" i="42" s="1"/>
  <c r="J20" i="43" a="1"/>
  <c r="J20" i="43" s="1"/>
  <c r="Q20" i="42" s="1"/>
  <c r="J23" i="43" a="1"/>
  <c r="J23" i="43" s="1"/>
  <c r="Q23" i="42" s="1"/>
  <c r="J5" i="43" a="1"/>
  <c r="J5" i="43" s="1"/>
  <c r="Q5" i="42" s="1"/>
  <c r="J8" i="43" a="1"/>
  <c r="J8" i="43" s="1"/>
  <c r="Q8" i="42" s="1"/>
  <c r="J14" i="43" a="1"/>
  <c r="J14" i="43" s="1"/>
  <c r="Q14" i="42" s="1"/>
  <c r="J21" i="43" a="1"/>
  <c r="J21" i="43" s="1"/>
  <c r="Q21" i="42" s="1"/>
  <c r="Q1" i="42"/>
  <c r="P1" i="42"/>
  <c r="O1" i="42"/>
  <c r="N1" i="42"/>
  <c r="M1" i="42"/>
  <c r="L1" i="42"/>
  <c r="O21" i="42" l="1"/>
  <c r="S21" i="42" s="1"/>
  <c r="O18" i="42"/>
  <c r="S18" i="42" s="1"/>
  <c r="C30" i="12"/>
  <c r="O23" i="42" l="1"/>
  <c r="S23" i="42" s="1"/>
  <c r="O17" i="42"/>
  <c r="S17" i="42" s="1"/>
  <c r="O13" i="42"/>
  <c r="O10" i="42"/>
  <c r="O7" i="42"/>
  <c r="O15" i="42"/>
  <c r="O22" i="42"/>
  <c r="O14" i="42"/>
  <c r="O5" i="42"/>
  <c r="O16" i="42"/>
  <c r="O11" i="42"/>
  <c r="D28" i="1"/>
  <c r="D27" i="1"/>
  <c r="O20" i="42" l="1"/>
  <c r="O19" i="42"/>
  <c r="O12" i="42"/>
  <c r="O8" i="42"/>
  <c r="O4" i="42"/>
  <c r="O9" i="42"/>
  <c r="O6" i="42"/>
  <c r="O3" i="42"/>
  <c r="I30" i="12"/>
  <c r="Y8" i="1" l="1" a="1"/>
  <c r="Y8" i="1" s="1"/>
  <c r="Y11" i="1" a="1"/>
  <c r="Y11" i="1" s="1"/>
  <c r="Y16" i="1" a="1"/>
  <c r="Y16" i="1" s="1"/>
  <c r="Y19" i="1" a="1"/>
  <c r="Y19" i="1" s="1"/>
  <c r="Y15" i="1" a="1"/>
  <c r="Y15" i="1" s="1"/>
  <c r="Y23" i="1" a="1"/>
  <c r="Y23" i="1" s="1"/>
  <c r="Y6" i="1" a="1"/>
  <c r="Y6" i="1" s="1"/>
  <c r="Y9" i="1" a="1"/>
  <c r="Y9" i="1" s="1"/>
  <c r="Y14" i="1" a="1"/>
  <c r="Y14" i="1" s="1"/>
  <c r="Y17" i="1" a="1"/>
  <c r="Y17" i="1" s="1"/>
  <c r="Y22" i="1" a="1"/>
  <c r="Y22" i="1" s="1"/>
  <c r="Y3" i="1" a="1"/>
  <c r="Y3" i="1" s="1"/>
  <c r="Y4" i="1" a="1"/>
  <c r="Y4" i="1" s="1"/>
  <c r="Y7" i="1" a="1"/>
  <c r="Y7" i="1" s="1"/>
  <c r="Y12" i="1" a="1"/>
  <c r="Y12" i="1" s="1"/>
  <c r="Y20" i="1" a="1"/>
  <c r="Y20" i="1" s="1"/>
  <c r="Y5" i="1" a="1"/>
  <c r="Y5" i="1" s="1"/>
  <c r="Y18" i="1" a="1"/>
  <c r="Y18" i="1" s="1"/>
  <c r="Y21" i="1" a="1"/>
  <c r="Y21" i="1" s="1"/>
  <c r="Y10" i="1" a="1"/>
  <c r="Y10" i="1" s="1"/>
  <c r="Y13" i="1" a="1"/>
  <c r="Y13" i="1" s="1"/>
  <c r="H30" i="12"/>
  <c r="X8" i="1" a="1"/>
  <c r="X8" i="1" s="1"/>
  <c r="X11" i="1" a="1"/>
  <c r="X11" i="1" s="1"/>
  <c r="X16" i="1" a="1"/>
  <c r="X16" i="1" s="1"/>
  <c r="X19" i="1" a="1"/>
  <c r="X19" i="1" s="1"/>
  <c r="X7" i="1" a="1"/>
  <c r="X7" i="1" s="1"/>
  <c r="X15" i="1" a="1"/>
  <c r="X15" i="1" s="1"/>
  <c r="X23" i="1" a="1"/>
  <c r="X23" i="1" s="1"/>
  <c r="X6" i="1" a="1"/>
  <c r="X6" i="1" s="1"/>
  <c r="X9" i="1" a="1"/>
  <c r="X9" i="1" s="1"/>
  <c r="X14" i="1" a="1"/>
  <c r="X14" i="1" s="1"/>
  <c r="X17" i="1" a="1"/>
  <c r="X17" i="1" s="1"/>
  <c r="X22" i="1" a="1"/>
  <c r="X22" i="1" s="1"/>
  <c r="X3" i="1" a="1"/>
  <c r="X3" i="1" s="1"/>
  <c r="X4" i="1" a="1"/>
  <c r="X4" i="1" s="1"/>
  <c r="X12" i="1" a="1"/>
  <c r="X12" i="1" s="1"/>
  <c r="X20" i="1" a="1"/>
  <c r="X20" i="1" s="1"/>
  <c r="X18" i="1" a="1"/>
  <c r="X18" i="1" s="1"/>
  <c r="X10" i="1" a="1"/>
  <c r="X10" i="1" s="1"/>
  <c r="X21" i="1" a="1"/>
  <c r="X21" i="1" s="1"/>
  <c r="X13" i="1" a="1"/>
  <c r="X13" i="1" s="1"/>
  <c r="X5" i="1" a="1"/>
  <c r="X5" i="1" s="1"/>
  <c r="J30" i="12" l="1"/>
  <c r="Q11" i="39" a="1"/>
  <c r="Q11" i="39" s="1"/>
  <c r="Q7" i="39" a="1"/>
  <c r="Q7" i="39" s="1"/>
  <c r="Q16" i="39" a="1"/>
  <c r="Q16" i="39" s="1"/>
  <c r="Q8" i="39" a="1"/>
  <c r="Q8" i="39" s="1"/>
  <c r="Q4" i="39" a="1"/>
  <c r="Q4" i="39" s="1"/>
  <c r="Q12" i="39" a="1"/>
  <c r="Q12" i="39" s="1"/>
  <c r="Q20" i="39" a="1"/>
  <c r="Q20" i="39" s="1"/>
  <c r="Q5" i="39" a="1"/>
  <c r="Q5" i="39" s="1"/>
  <c r="Q9" i="39" a="1"/>
  <c r="Q9" i="39" s="1"/>
  <c r="Q13" i="39" a="1"/>
  <c r="Q13" i="39" s="1"/>
  <c r="Q17" i="39" a="1"/>
  <c r="Q17" i="39" s="1"/>
  <c r="Q21" i="39" a="1"/>
  <c r="Q21" i="39" s="1"/>
  <c r="Q2" i="39" a="1"/>
  <c r="Q2" i="39" s="1"/>
  <c r="Q6" i="39" a="1"/>
  <c r="Q6" i="39" s="1"/>
  <c r="Q10" i="39" a="1"/>
  <c r="Q10" i="39" s="1"/>
  <c r="Q14" i="39" a="1"/>
  <c r="Q14" i="39" s="1"/>
  <c r="Q18" i="39" a="1"/>
  <c r="Q18" i="39" s="1"/>
  <c r="Q22" i="39" a="1"/>
  <c r="Q22" i="39" s="1"/>
  <c r="Q3" i="39" a="1"/>
  <c r="Q3" i="39" s="1"/>
  <c r="Q15" i="39" a="1"/>
  <c r="Q15" i="39" s="1"/>
  <c r="Q19" i="39" a="1"/>
  <c r="Q19" i="39" s="1"/>
  <c r="O7" i="39" a="1"/>
  <c r="O7" i="39" s="1"/>
  <c r="O10" i="39" a="1"/>
  <c r="O10" i="39" s="1"/>
  <c r="O15" i="39" a="1"/>
  <c r="O15" i="39" s="1"/>
  <c r="O18" i="39" a="1"/>
  <c r="O18" i="39" s="1"/>
  <c r="O5" i="39" a="1"/>
  <c r="O5" i="39" s="1"/>
  <c r="O8" i="39" a="1"/>
  <c r="O8" i="39" s="1"/>
  <c r="O13" i="39" a="1"/>
  <c r="O13" i="39" s="1"/>
  <c r="O16" i="39" a="1"/>
  <c r="O16" i="39" s="1"/>
  <c r="O21" i="39" a="1"/>
  <c r="O21" i="39" s="1"/>
  <c r="O2" i="39" a="1"/>
  <c r="O2" i="39" s="1"/>
  <c r="O3" i="39" a="1"/>
  <c r="O3" i="39" s="1"/>
  <c r="O6" i="39" a="1"/>
  <c r="O6" i="39" s="1"/>
  <c r="O11" i="39" a="1"/>
  <c r="O11" i="39" s="1"/>
  <c r="O14" i="39" a="1"/>
  <c r="O14" i="39" s="1"/>
  <c r="O19" i="39" a="1"/>
  <c r="O19" i="39" s="1"/>
  <c r="O22" i="39" a="1"/>
  <c r="O22" i="39" s="1"/>
  <c r="O4" i="39" a="1"/>
  <c r="O4" i="39" s="1"/>
  <c r="O9" i="39" a="1"/>
  <c r="O9" i="39" s="1"/>
  <c r="O12" i="39" a="1"/>
  <c r="O12" i="39" s="1"/>
  <c r="O17" i="39" a="1"/>
  <c r="O17" i="39" s="1"/>
  <c r="O20" i="39" a="1"/>
  <c r="O20" i="39" s="1"/>
  <c r="M2" i="13" l="1"/>
  <c r="N2" i="13"/>
  <c r="L2" i="13"/>
  <c r="V25" i="38" l="1"/>
  <c r="M23" i="1" s="1"/>
  <c r="T23" i="1" s="1"/>
  <c r="U25" i="38"/>
  <c r="M22" i="1" s="1"/>
  <c r="T22" i="1" s="1"/>
  <c r="T25" i="38"/>
  <c r="M21" i="1" s="1"/>
  <c r="T21" i="1" s="1"/>
  <c r="S25" i="38"/>
  <c r="M20" i="1" s="1"/>
  <c r="T20" i="1" s="1"/>
  <c r="R25" i="38"/>
  <c r="M19" i="1" s="1"/>
  <c r="T19" i="1" s="1"/>
  <c r="Q25" i="38"/>
  <c r="M18" i="1" s="1"/>
  <c r="T18" i="1" s="1"/>
  <c r="P25" i="38"/>
  <c r="M17" i="1" s="1"/>
  <c r="T17" i="1" s="1"/>
  <c r="O25" i="38"/>
  <c r="M16" i="1" s="1"/>
  <c r="T16" i="1" s="1"/>
  <c r="N25" i="38"/>
  <c r="M15" i="1" s="1"/>
  <c r="T15" i="1" s="1"/>
  <c r="M25" i="38"/>
  <c r="M14" i="1" s="1"/>
  <c r="T14" i="1" s="1"/>
  <c r="L25" i="38"/>
  <c r="M13" i="1" s="1"/>
  <c r="T13" i="1" s="1"/>
  <c r="K25" i="38"/>
  <c r="M12" i="1" s="1"/>
  <c r="T12" i="1" s="1"/>
  <c r="J25" i="38"/>
  <c r="M11" i="1" s="1"/>
  <c r="T11" i="1" s="1"/>
  <c r="I25" i="38"/>
  <c r="M10" i="1" s="1"/>
  <c r="T10" i="1" s="1"/>
  <c r="H25" i="38"/>
  <c r="M9" i="1" s="1"/>
  <c r="T9" i="1" s="1"/>
  <c r="G25" i="38"/>
  <c r="M8" i="1" s="1"/>
  <c r="T8" i="1" s="1"/>
  <c r="F25" i="38"/>
  <c r="M7" i="1" s="1"/>
  <c r="T7" i="1" s="1"/>
  <c r="E25" i="38"/>
  <c r="M6" i="1" s="1"/>
  <c r="T6" i="1" s="1"/>
  <c r="D25" i="38"/>
  <c r="M5" i="1" s="1"/>
  <c r="T5" i="1" s="1"/>
  <c r="C25" i="38"/>
  <c r="M4" i="1" s="1"/>
  <c r="T4" i="1" s="1"/>
  <c r="B25" i="38"/>
  <c r="M3" i="1" s="1"/>
  <c r="T3" i="1" s="1"/>
  <c r="Z4" i="1" l="1" a="1"/>
  <c r="Z4" i="1" s="1"/>
  <c r="Z7" i="1" a="1"/>
  <c r="Z7" i="1" s="1"/>
  <c r="Z12" i="1" a="1"/>
  <c r="Z12" i="1" s="1"/>
  <c r="Z15" i="1" a="1"/>
  <c r="Z15" i="1" s="1"/>
  <c r="Z20" i="1" a="1"/>
  <c r="Z20" i="1" s="1"/>
  <c r="Z23" i="1" a="1"/>
  <c r="Z23" i="1" s="1"/>
  <c r="Z5" i="1" a="1"/>
  <c r="Z5" i="1" s="1"/>
  <c r="Z10" i="1" a="1"/>
  <c r="Z10" i="1" s="1"/>
  <c r="Z13" i="1" a="1"/>
  <c r="Z13" i="1" s="1"/>
  <c r="Z18" i="1" a="1"/>
  <c r="Z18" i="1" s="1"/>
  <c r="Z21" i="1" a="1"/>
  <c r="Z21" i="1" s="1"/>
  <c r="Z8" i="1" a="1"/>
  <c r="Z8" i="1" s="1"/>
  <c r="Z11" i="1" a="1"/>
  <c r="Z11" i="1" s="1"/>
  <c r="Z16" i="1" a="1"/>
  <c r="Z16" i="1" s="1"/>
  <c r="Z19" i="1" a="1"/>
  <c r="Z19" i="1" s="1"/>
  <c r="Z3" i="1" a="1"/>
  <c r="Z3" i="1" s="1"/>
  <c r="Z6" i="1" a="1"/>
  <c r="Z6" i="1" s="1"/>
  <c r="Z9" i="1" a="1"/>
  <c r="Z9" i="1" s="1"/>
  <c r="Z14" i="1" a="1"/>
  <c r="Z14" i="1" s="1"/>
  <c r="Z17" i="1" a="1"/>
  <c r="Z17" i="1" s="1"/>
  <c r="Z22" i="1" a="1"/>
  <c r="Z22" i="1" s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V4" i="1" l="1" a="1"/>
  <c r="V4" i="1" s="1"/>
  <c r="V7" i="1" a="1"/>
  <c r="V7" i="1" s="1"/>
  <c r="V12" i="1" a="1"/>
  <c r="V12" i="1" s="1"/>
  <c r="V15" i="1" a="1"/>
  <c r="V15" i="1" s="1"/>
  <c r="V20" i="1" a="1"/>
  <c r="V20" i="1" s="1"/>
  <c r="V23" i="1" a="1"/>
  <c r="V23" i="1" s="1"/>
  <c r="V5" i="1" a="1"/>
  <c r="V5" i="1" s="1"/>
  <c r="V10" i="1" a="1"/>
  <c r="V10" i="1" s="1"/>
  <c r="V13" i="1" a="1"/>
  <c r="V13" i="1" s="1"/>
  <c r="V18" i="1" a="1"/>
  <c r="V18" i="1" s="1"/>
  <c r="V21" i="1" a="1"/>
  <c r="V21" i="1" s="1"/>
  <c r="V8" i="1" a="1"/>
  <c r="V8" i="1" s="1"/>
  <c r="V11" i="1" a="1"/>
  <c r="V11" i="1" s="1"/>
  <c r="V16" i="1" a="1"/>
  <c r="V16" i="1" s="1"/>
  <c r="V19" i="1" a="1"/>
  <c r="V19" i="1" s="1"/>
  <c r="V6" i="1" a="1"/>
  <c r="V6" i="1" s="1"/>
  <c r="V9" i="1" a="1"/>
  <c r="V9" i="1" s="1"/>
  <c r="V14" i="1" a="1"/>
  <c r="V14" i="1" s="1"/>
  <c r="V17" i="1" a="1"/>
  <c r="V17" i="1" s="1"/>
  <c r="V22" i="1" a="1"/>
  <c r="V22" i="1" s="1"/>
  <c r="V3" i="1" a="1"/>
  <c r="V3" i="1" s="1"/>
  <c r="V24" i="38"/>
  <c r="I22" i="39" s="1"/>
  <c r="M22" i="39" s="1"/>
  <c r="V23" i="38"/>
  <c r="J24" i="38"/>
  <c r="I10" i="39" s="1"/>
  <c r="M10" i="39" s="1"/>
  <c r="J23" i="38"/>
  <c r="Q23" i="38"/>
  <c r="Q24" i="38"/>
  <c r="I17" i="39" s="1"/>
  <c r="M17" i="39" s="1"/>
  <c r="S23" i="38"/>
  <c r="S24" i="38"/>
  <c r="I19" i="39" s="1"/>
  <c r="M19" i="39" s="1"/>
  <c r="E23" i="38"/>
  <c r="E24" i="38"/>
  <c r="I5" i="39" s="1"/>
  <c r="M5" i="39" s="1"/>
  <c r="T24" i="38"/>
  <c r="I20" i="39" s="1"/>
  <c r="M20" i="39" s="1"/>
  <c r="T23" i="38"/>
  <c r="M23" i="38"/>
  <c r="M24" i="38"/>
  <c r="I13" i="39" s="1"/>
  <c r="M13" i="39" s="1"/>
  <c r="R23" i="38"/>
  <c r="R24" i="38"/>
  <c r="I18" i="39" s="1"/>
  <c r="M18" i="39" s="1"/>
  <c r="O23" i="38"/>
  <c r="O24" i="38"/>
  <c r="I15" i="39" s="1"/>
  <c r="M15" i="39" s="1"/>
  <c r="N23" i="38"/>
  <c r="N24" i="38"/>
  <c r="I14" i="39" s="1"/>
  <c r="M14" i="39" s="1"/>
  <c r="G23" i="38"/>
  <c r="G24" i="38"/>
  <c r="I7" i="39" s="1"/>
  <c r="M7" i="39" s="1"/>
  <c r="L24" i="38"/>
  <c r="I12" i="39" s="1"/>
  <c r="M12" i="39" s="1"/>
  <c r="L23" i="38"/>
  <c r="H24" i="38"/>
  <c r="I8" i="39" s="1"/>
  <c r="M8" i="39" s="1"/>
  <c r="H23" i="38"/>
  <c r="B24" i="38"/>
  <c r="I2" i="39" s="1"/>
  <c r="M2" i="39" s="1"/>
  <c r="B23" i="38"/>
  <c r="F23" i="38"/>
  <c r="F24" i="38"/>
  <c r="I6" i="39" s="1"/>
  <c r="M6" i="39" s="1"/>
  <c r="K24" i="38"/>
  <c r="I11" i="39" s="1"/>
  <c r="M11" i="39" s="1"/>
  <c r="K23" i="38"/>
  <c r="U24" i="38"/>
  <c r="I21" i="39" s="1"/>
  <c r="M21" i="39" s="1"/>
  <c r="U23" i="38"/>
  <c r="P23" i="38"/>
  <c r="P24" i="38"/>
  <c r="I16" i="39" s="1"/>
  <c r="M16" i="39" s="1"/>
  <c r="C23" i="38"/>
  <c r="C24" i="38"/>
  <c r="I3" i="39" s="1"/>
  <c r="M3" i="39" s="1"/>
  <c r="I24" i="38"/>
  <c r="I9" i="39" s="1"/>
  <c r="M9" i="39" s="1"/>
  <c r="I23" i="38"/>
  <c r="D23" i="38"/>
  <c r="D24" i="38"/>
  <c r="I4" i="39" s="1"/>
  <c r="M4" i="39" s="1"/>
  <c r="Q20" i="1"/>
  <c r="Q16" i="1"/>
  <c r="Q12" i="1"/>
  <c r="Q8" i="1"/>
  <c r="Q23" i="1"/>
  <c r="Q19" i="1"/>
  <c r="Q15" i="1"/>
  <c r="Q11" i="1"/>
  <c r="Q7" i="1"/>
  <c r="Q4" i="1"/>
  <c r="Q22" i="1"/>
  <c r="Q18" i="1"/>
  <c r="Q14" i="1"/>
  <c r="Q10" i="1"/>
  <c r="Q6" i="1"/>
  <c r="Q3" i="1"/>
  <c r="Q21" i="1"/>
  <c r="Q17" i="1"/>
  <c r="Q13" i="1"/>
  <c r="Q9" i="1"/>
  <c r="Q5" i="1"/>
  <c r="N5" i="39" l="1" a="1"/>
  <c r="N5" i="39" s="1"/>
  <c r="N8" i="39" a="1"/>
  <c r="N8" i="39" s="1"/>
  <c r="N13" i="39" a="1"/>
  <c r="N13" i="39" s="1"/>
  <c r="N16" i="39" a="1"/>
  <c r="N16" i="39" s="1"/>
  <c r="N21" i="39" a="1"/>
  <c r="N21" i="39" s="1"/>
  <c r="N3" i="39" a="1"/>
  <c r="N3" i="39" s="1"/>
  <c r="N6" i="39" a="1"/>
  <c r="N6" i="39" s="1"/>
  <c r="N11" i="39" a="1"/>
  <c r="N11" i="39" s="1"/>
  <c r="N14" i="39" a="1"/>
  <c r="N14" i="39" s="1"/>
  <c r="N19" i="39" a="1"/>
  <c r="N19" i="39" s="1"/>
  <c r="N22" i="39" a="1"/>
  <c r="N22" i="39" s="1"/>
  <c r="N4" i="39" a="1"/>
  <c r="N4" i="39" s="1"/>
  <c r="N9" i="39" a="1"/>
  <c r="N9" i="39" s="1"/>
  <c r="N12" i="39" a="1"/>
  <c r="N12" i="39" s="1"/>
  <c r="N17" i="39" a="1"/>
  <c r="N17" i="39" s="1"/>
  <c r="N20" i="39" a="1"/>
  <c r="N20" i="39" s="1"/>
  <c r="N7" i="39" a="1"/>
  <c r="N7" i="39" s="1"/>
  <c r="N10" i="39" a="1"/>
  <c r="N10" i="39" s="1"/>
  <c r="N15" i="39" a="1"/>
  <c r="N15" i="39" s="1"/>
  <c r="N18" i="39" a="1"/>
  <c r="N18" i="39" s="1"/>
  <c r="N2" i="39" a="1"/>
  <c r="N2" i="39" s="1"/>
  <c r="N12" i="13"/>
  <c r="N8" i="13"/>
  <c r="N17" i="13"/>
  <c r="N16" i="13"/>
  <c r="N23" i="13"/>
  <c r="N13" i="13"/>
  <c r="N5" i="13"/>
  <c r="N7" i="13"/>
  <c r="N14" i="13"/>
  <c r="N9" i="13"/>
  <c r="N18" i="13"/>
  <c r="N24" i="13"/>
  <c r="N19" i="13"/>
  <c r="N15" i="13"/>
  <c r="N20" i="13"/>
  <c r="N22" i="13"/>
  <c r="N11" i="13"/>
  <c r="N4" i="13"/>
  <c r="N21" i="13"/>
  <c r="N6" i="13"/>
  <c r="N10" i="13"/>
  <c r="U6" i="1" a="1"/>
  <c r="U6" i="1" s="1"/>
  <c r="U9" i="1" a="1"/>
  <c r="U9" i="1" s="1"/>
  <c r="U14" i="1" a="1"/>
  <c r="U14" i="1" s="1"/>
  <c r="U17" i="1" a="1"/>
  <c r="U17" i="1" s="1"/>
  <c r="U22" i="1" a="1"/>
  <c r="U22" i="1" s="1"/>
  <c r="U7" i="1" a="1"/>
  <c r="U7" i="1" s="1"/>
  <c r="U12" i="1" a="1"/>
  <c r="U12" i="1" s="1"/>
  <c r="U15" i="1" a="1"/>
  <c r="U15" i="1" s="1"/>
  <c r="U20" i="1" a="1"/>
  <c r="U20" i="1" s="1"/>
  <c r="U23" i="1" a="1"/>
  <c r="U23" i="1" s="1"/>
  <c r="U3" i="1" a="1"/>
  <c r="U3" i="1" s="1"/>
  <c r="U5" i="1" a="1"/>
  <c r="U5" i="1" s="1"/>
  <c r="U10" i="1" a="1"/>
  <c r="U10" i="1" s="1"/>
  <c r="U13" i="1" a="1"/>
  <c r="U13" i="1" s="1"/>
  <c r="U18" i="1" a="1"/>
  <c r="U18" i="1" s="1"/>
  <c r="U21" i="1" a="1"/>
  <c r="U21" i="1" s="1"/>
  <c r="U4" i="1" a="1"/>
  <c r="U4" i="1" s="1"/>
  <c r="U8" i="1" a="1"/>
  <c r="U8" i="1" s="1"/>
  <c r="U11" i="1" a="1"/>
  <c r="U11" i="1" s="1"/>
  <c r="U16" i="1" a="1"/>
  <c r="U16" i="1" s="1"/>
  <c r="U19" i="1" a="1"/>
  <c r="U19" i="1" s="1"/>
  <c r="U2" i="12" l="1"/>
  <c r="U20" i="12" l="1"/>
  <c r="U8" i="12"/>
  <c r="U18" i="12"/>
  <c r="U6" i="12"/>
  <c r="U17" i="12"/>
  <c r="U3" i="12"/>
  <c r="U11" i="12"/>
  <c r="U21" i="12"/>
  <c r="U19" i="12"/>
  <c r="U7" i="12"/>
  <c r="U5" i="12"/>
  <c r="U16" i="12"/>
  <c r="U4" i="12"/>
  <c r="U13" i="12"/>
  <c r="U12" i="12"/>
  <c r="U10" i="12"/>
  <c r="U22" i="12"/>
  <c r="U14" i="12"/>
  <c r="U15" i="12"/>
  <c r="U9" i="12"/>
  <c r="U23" i="12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AJ16" i="9"/>
  <c r="AK16" i="9"/>
  <c r="AL16" i="9"/>
  <c r="AM16" i="9"/>
  <c r="AN16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AJ17" i="9"/>
  <c r="AK17" i="9"/>
  <c r="AL17" i="9"/>
  <c r="AM17" i="9"/>
  <c r="AN17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AJ18" i="9"/>
  <c r="AK18" i="9"/>
  <c r="AL18" i="9"/>
  <c r="AM18" i="9"/>
  <c r="AN18" i="9"/>
  <c r="B18" i="9"/>
  <c r="B17" i="9"/>
  <c r="B16" i="9"/>
  <c r="S7" i="1"/>
  <c r="S17" i="1"/>
  <c r="S6" i="1"/>
  <c r="S16" i="1"/>
  <c r="S9" i="1"/>
  <c r="S21" i="1"/>
  <c r="S5" i="1"/>
  <c r="S13" i="1"/>
  <c r="S20" i="1" l="1"/>
  <c r="S11" i="1"/>
  <c r="S23" i="1"/>
  <c r="S8" i="1"/>
  <c r="S4" i="1"/>
  <c r="S12" i="1"/>
  <c r="S15" i="1"/>
  <c r="S3" i="1"/>
  <c r="S22" i="1"/>
  <c r="S18" i="1"/>
  <c r="S19" i="1"/>
  <c r="S10" i="1"/>
  <c r="S14" i="1"/>
  <c r="W4" i="1" l="1" a="1"/>
  <c r="W4" i="1" s="1"/>
  <c r="AB4" i="1" s="1"/>
  <c r="W8" i="1" a="1"/>
  <c r="W8" i="1" s="1"/>
  <c r="AB8" i="1" s="1"/>
  <c r="W11" i="1" a="1"/>
  <c r="W11" i="1" s="1"/>
  <c r="AB11" i="1" s="1"/>
  <c r="W16" i="1" a="1"/>
  <c r="W16" i="1" s="1"/>
  <c r="AB16" i="1" s="1"/>
  <c r="W19" i="1" a="1"/>
  <c r="W19" i="1" s="1"/>
  <c r="AB19" i="1" s="1"/>
  <c r="W6" i="1" a="1"/>
  <c r="W6" i="1" s="1"/>
  <c r="AB6" i="1" s="1"/>
  <c r="W9" i="1" a="1"/>
  <c r="W9" i="1" s="1"/>
  <c r="AB9" i="1" s="1"/>
  <c r="W14" i="1" a="1"/>
  <c r="W14" i="1" s="1"/>
  <c r="AB14" i="1" s="1"/>
  <c r="W17" i="1" a="1"/>
  <c r="W17" i="1" s="1"/>
  <c r="AB17" i="1" s="1"/>
  <c r="W22" i="1" a="1"/>
  <c r="W22" i="1" s="1"/>
  <c r="AB22" i="1" s="1"/>
  <c r="W7" i="1" a="1"/>
  <c r="W7" i="1" s="1"/>
  <c r="AB7" i="1" s="1"/>
  <c r="W12" i="1" a="1"/>
  <c r="W12" i="1" s="1"/>
  <c r="AB12" i="1" s="1"/>
  <c r="W15" i="1" a="1"/>
  <c r="W15" i="1" s="1"/>
  <c r="AB15" i="1" s="1"/>
  <c r="W20" i="1" a="1"/>
  <c r="W20" i="1" s="1"/>
  <c r="AB20" i="1" s="1"/>
  <c r="W23" i="1" a="1"/>
  <c r="W23" i="1" s="1"/>
  <c r="AB23" i="1" s="1"/>
  <c r="W3" i="1" a="1"/>
  <c r="W3" i="1" s="1"/>
  <c r="AB3" i="1" s="1"/>
  <c r="W5" i="1" a="1"/>
  <c r="W5" i="1" s="1"/>
  <c r="AB5" i="1" s="1"/>
  <c r="W10" i="1" a="1"/>
  <c r="W10" i="1" s="1"/>
  <c r="AB10" i="1" s="1"/>
  <c r="W13" i="1" a="1"/>
  <c r="W13" i="1" s="1"/>
  <c r="AB13" i="1" s="1"/>
  <c r="W18" i="1" a="1"/>
  <c r="W18" i="1" s="1"/>
  <c r="AB18" i="1" s="1"/>
  <c r="W21" i="1" a="1"/>
  <c r="W21" i="1" s="1"/>
  <c r="AB21" i="1" s="1"/>
  <c r="AC6" i="1" l="1" a="1"/>
  <c r="AC6" i="1" s="1"/>
  <c r="AC9" i="1" a="1"/>
  <c r="AC9" i="1" s="1"/>
  <c r="AC14" i="1" a="1"/>
  <c r="AC14" i="1" s="1"/>
  <c r="AC17" i="1" a="1"/>
  <c r="AC17" i="1" s="1"/>
  <c r="AC22" i="1" a="1"/>
  <c r="AC22" i="1" s="1"/>
  <c r="AC3" i="1" a="1"/>
  <c r="AC3" i="1" s="1"/>
  <c r="AC4" i="1" a="1"/>
  <c r="AC4" i="1" s="1"/>
  <c r="AC7" i="1" a="1"/>
  <c r="AC7" i="1" s="1"/>
  <c r="AC12" i="1" a="1"/>
  <c r="AC12" i="1" s="1"/>
  <c r="AC15" i="1" a="1"/>
  <c r="AC15" i="1" s="1"/>
  <c r="AC20" i="1" a="1"/>
  <c r="AC20" i="1" s="1"/>
  <c r="AC23" i="1" a="1"/>
  <c r="AC23" i="1" s="1"/>
  <c r="AC5" i="1" a="1"/>
  <c r="AC5" i="1" s="1"/>
  <c r="AC10" i="1" a="1"/>
  <c r="AC10" i="1" s="1"/>
  <c r="AC13" i="1" a="1"/>
  <c r="AC13" i="1" s="1"/>
  <c r="AC18" i="1" a="1"/>
  <c r="AC18" i="1" s="1"/>
  <c r="D25" i="40" s="1"/>
  <c r="AC21" i="1" a="1"/>
  <c r="AC21" i="1" s="1"/>
  <c r="AC8" i="1" a="1"/>
  <c r="AC8" i="1" s="1"/>
  <c r="AC11" i="1" a="1"/>
  <c r="AC11" i="1" s="1"/>
  <c r="AC16" i="1" a="1"/>
  <c r="AC16" i="1" s="1"/>
  <c r="AC19" i="1" a="1"/>
  <c r="AC19" i="1" s="1"/>
  <c r="D26" i="40" l="1"/>
  <c r="D20" i="40"/>
  <c r="D15" i="40"/>
  <c r="E12" i="49" s="1"/>
  <c r="D14" i="40"/>
  <c r="D13" i="40"/>
  <c r="D19" i="40"/>
  <c r="D21" i="40"/>
  <c r="E23" i="49" s="1"/>
  <c r="E20" i="49"/>
  <c r="D7" i="40"/>
  <c r="E17" i="49" s="1"/>
  <c r="D9" i="40"/>
  <c r="D11" i="40"/>
  <c r="D10" i="40"/>
  <c r="E4" i="49" s="1"/>
  <c r="D18" i="40"/>
  <c r="D8" i="40"/>
  <c r="E9" i="49" s="1"/>
  <c r="D17" i="40"/>
  <c r="E19" i="49" s="1"/>
  <c r="D12" i="40"/>
  <c r="E22" i="49" s="1"/>
  <c r="D23" i="40"/>
  <c r="D24" i="40"/>
  <c r="D22" i="40"/>
  <c r="D16" i="40"/>
  <c r="E18" i="49" l="1"/>
  <c r="E13" i="49"/>
  <c r="E7" i="49"/>
  <c r="E8" i="49"/>
  <c r="E15" i="49"/>
  <c r="E10" i="49"/>
  <c r="E11" i="49"/>
  <c r="E5" i="49"/>
  <c r="E21" i="49"/>
  <c r="E6" i="49"/>
  <c r="E14" i="49"/>
  <c r="E16" i="49"/>
  <c r="S7" i="42"/>
  <c r="S14" i="42"/>
  <c r="S13" i="42"/>
  <c r="S5" i="42" l="1"/>
  <c r="S4" i="42"/>
  <c r="S22" i="42"/>
  <c r="S16" i="42"/>
  <c r="S9" i="42"/>
  <c r="S11" i="42"/>
  <c r="S15" i="42"/>
  <c r="S19" i="42"/>
  <c r="S6" i="42"/>
  <c r="S8" i="42"/>
  <c r="S10" i="42"/>
  <c r="S20" i="42"/>
  <c r="S3" i="42"/>
  <c r="S12" i="42"/>
  <c r="U5" i="42" l="1" a="1"/>
  <c r="U5" i="42" s="1"/>
  <c r="L26" i="40" s="1"/>
  <c r="U10" i="42" a="1"/>
  <c r="U10" i="42" s="1"/>
  <c r="L10" i="40" s="1"/>
  <c r="U13" i="42" a="1"/>
  <c r="U13" i="42" s="1"/>
  <c r="L7" i="40" s="1"/>
  <c r="U18" i="42" a="1"/>
  <c r="U18" i="42" s="1"/>
  <c r="L25" i="40" s="1"/>
  <c r="U21" i="42" a="1"/>
  <c r="U21" i="42" s="1"/>
  <c r="L12" i="40" s="1"/>
  <c r="U12" i="42" a="1"/>
  <c r="U12" i="42" s="1"/>
  <c r="L9" i="40" s="1"/>
  <c r="U23" i="42" a="1"/>
  <c r="U23" i="42" s="1"/>
  <c r="L18" i="40" s="1"/>
  <c r="U8" i="42" a="1"/>
  <c r="U8" i="42" s="1"/>
  <c r="L20" i="40" s="1"/>
  <c r="U11" i="42" a="1"/>
  <c r="U11" i="42" s="1"/>
  <c r="L19" i="40" s="1"/>
  <c r="U16" i="42" a="1"/>
  <c r="U16" i="42" s="1"/>
  <c r="L11" i="40" s="1"/>
  <c r="U19" i="42" a="1"/>
  <c r="U19" i="42" s="1"/>
  <c r="U7" i="42" a="1"/>
  <c r="U7" i="42" s="1"/>
  <c r="U15" i="42" a="1"/>
  <c r="U15" i="42" s="1"/>
  <c r="U6" i="42" a="1"/>
  <c r="U6" i="42" s="1"/>
  <c r="L16" i="40" s="1"/>
  <c r="U9" i="42" a="1"/>
  <c r="U9" i="42" s="1"/>
  <c r="U14" i="42" a="1"/>
  <c r="U14" i="42" s="1"/>
  <c r="U17" i="42" a="1"/>
  <c r="U17" i="42" s="1"/>
  <c r="L13" i="40" s="1"/>
  <c r="U22" i="42" a="1"/>
  <c r="U22" i="42" s="1"/>
  <c r="U3" i="42" a="1"/>
  <c r="U3" i="42" s="1"/>
  <c r="U4" i="42" a="1"/>
  <c r="U4" i="42" s="1"/>
  <c r="U20" i="42" a="1"/>
  <c r="U20" i="42" s="1"/>
  <c r="K13" i="49" l="1"/>
  <c r="I23" i="55"/>
  <c r="I14" i="55"/>
  <c r="K18" i="49"/>
  <c r="K20" i="49"/>
  <c r="I24" i="55"/>
  <c r="P24" i="55" s="1"/>
  <c r="I29" i="55"/>
  <c r="K6" i="49"/>
  <c r="K17" i="49"/>
  <c r="I19" i="55"/>
  <c r="K21" i="49"/>
  <c r="I12" i="55"/>
  <c r="I22" i="55"/>
  <c r="K14" i="49"/>
  <c r="K11" i="49"/>
  <c r="I18" i="55"/>
  <c r="K4" i="49"/>
  <c r="I16" i="55"/>
  <c r="K7" i="49"/>
  <c r="I17" i="55"/>
  <c r="I27" i="55"/>
  <c r="K22" i="49"/>
  <c r="K8" i="49"/>
  <c r="I11" i="55"/>
  <c r="L23" i="40"/>
  <c r="L24" i="40"/>
  <c r="L22" i="40"/>
  <c r="L21" i="40"/>
  <c r="L15" i="40"/>
  <c r="L14" i="40"/>
  <c r="L17" i="40"/>
  <c r="L8" i="40"/>
  <c r="K16" i="49" l="1"/>
  <c r="I26" i="55"/>
  <c r="K23" i="49"/>
  <c r="I20" i="55"/>
  <c r="K19" i="49"/>
  <c r="I15" i="55"/>
  <c r="K5" i="49"/>
  <c r="I28" i="55"/>
  <c r="I13" i="55"/>
  <c r="K10" i="49"/>
  <c r="I9" i="55"/>
  <c r="K9" i="49"/>
  <c r="K15" i="49"/>
  <c r="I10" i="55"/>
  <c r="I25" i="55"/>
  <c r="I21" i="55"/>
  <c r="K12" i="49"/>
  <c r="U1" i="28"/>
  <c r="T1" i="28"/>
  <c r="S1" i="28"/>
  <c r="U23" i="28" l="1"/>
  <c r="T23" i="28" l="1"/>
  <c r="U22" i="28" l="1"/>
  <c r="T22" i="28" l="1"/>
  <c r="U21" i="28" l="1"/>
  <c r="T21" i="28" l="1"/>
  <c r="U20" i="28" l="1"/>
  <c r="T20" i="28" l="1"/>
  <c r="U19" i="28" l="1"/>
  <c r="T19" i="28" l="1"/>
  <c r="U18" i="28" l="1"/>
  <c r="T18" i="28" l="1"/>
  <c r="U17" i="28" l="1"/>
  <c r="T17" i="28" l="1"/>
  <c r="U16" i="28" l="1"/>
  <c r="T16" i="28" l="1"/>
  <c r="U15" i="28" l="1"/>
  <c r="T15" i="28" l="1"/>
  <c r="V15" i="28" s="1"/>
  <c r="U14" i="28" l="1"/>
  <c r="T14" i="28" l="1"/>
  <c r="U13" i="28" l="1"/>
  <c r="T13" i="28" l="1"/>
  <c r="U12" i="28" l="1"/>
  <c r="T12" i="28" l="1"/>
  <c r="U11" i="28" l="1"/>
  <c r="T11" i="28" l="1"/>
  <c r="U10" i="28" l="1"/>
  <c r="T10" i="28" l="1"/>
  <c r="U9" i="28" l="1"/>
  <c r="T9" i="28" l="1"/>
  <c r="U8" i="28" l="1"/>
  <c r="T8" i="28" l="1"/>
  <c r="U7" i="28" l="1"/>
  <c r="T7" i="28" l="1"/>
  <c r="U6" i="28" l="1"/>
  <c r="T6" i="28" l="1"/>
  <c r="U5" i="28" l="1"/>
  <c r="T5" i="28" l="1"/>
  <c r="U4" i="28" l="1"/>
  <c r="T4" i="28" l="1"/>
  <c r="U3" i="28" l="1"/>
  <c r="N17" i="8" l="1"/>
  <c r="J23" i="28" l="1"/>
  <c r="J22" i="28"/>
  <c r="J21" i="28"/>
  <c r="J20" i="28"/>
  <c r="J19" i="28"/>
  <c r="J18" i="28"/>
  <c r="J17" i="28"/>
  <c r="J16" i="28"/>
  <c r="J15" i="28"/>
  <c r="J14" i="28"/>
  <c r="J13" i="28"/>
  <c r="J12" i="28"/>
  <c r="J11" i="28"/>
  <c r="J10" i="28"/>
  <c r="J9" i="28"/>
  <c r="J8" i="28"/>
  <c r="J7" i="28"/>
  <c r="J6" i="28"/>
  <c r="J5" i="28"/>
  <c r="J4" i="28"/>
  <c r="J3" i="28"/>
  <c r="N12" i="28" l="1"/>
  <c r="N16" i="28"/>
  <c r="N20" i="28"/>
  <c r="N5" i="28"/>
  <c r="N9" i="28"/>
  <c r="N13" i="28"/>
  <c r="N17" i="28"/>
  <c r="N21" i="28"/>
  <c r="N4" i="28"/>
  <c r="N10" i="28"/>
  <c r="N18" i="28"/>
  <c r="N22" i="28"/>
  <c r="N8" i="28"/>
  <c r="N6" i="28"/>
  <c r="N14" i="28"/>
  <c r="N7" i="28"/>
  <c r="N11" i="28"/>
  <c r="N15" i="28"/>
  <c r="N19" i="28"/>
  <c r="N23" i="28"/>
  <c r="S5" i="28"/>
  <c r="V5" i="28" s="1"/>
  <c r="S9" i="28"/>
  <c r="V9" i="28" s="1"/>
  <c r="S13" i="28"/>
  <c r="V13" i="28" s="1"/>
  <c r="S10" i="28"/>
  <c r="V10" i="28" s="1"/>
  <c r="S14" i="28"/>
  <c r="V14" i="28" s="1"/>
  <c r="S11" i="28"/>
  <c r="V11" i="28" s="1"/>
  <c r="S4" i="28"/>
  <c r="V4" i="28" s="1"/>
  <c r="S8" i="28"/>
  <c r="V8" i="28" s="1"/>
  <c r="S12" i="28"/>
  <c r="V12" i="28" s="1"/>
  <c r="N16" i="8"/>
  <c r="S19" i="28"/>
  <c r="V19" i="28" s="1"/>
  <c r="S23" i="28"/>
  <c r="V23" i="28" s="1"/>
  <c r="S16" i="28"/>
  <c r="V16" i="28" s="1"/>
  <c r="S17" i="28"/>
  <c r="V17" i="28" s="1"/>
  <c r="S6" i="28"/>
  <c r="V6" i="28" s="1"/>
  <c r="S18" i="28"/>
  <c r="V18" i="28" s="1"/>
  <c r="S20" i="28"/>
  <c r="V20" i="28" s="1"/>
  <c r="O13" i="8"/>
  <c r="O21" i="8" s="1"/>
  <c r="T3" i="28"/>
  <c r="S21" i="28" l="1"/>
  <c r="V21" i="28" s="1"/>
  <c r="S7" i="28"/>
  <c r="V7" i="28" s="1"/>
  <c r="S22" i="28"/>
  <c r="V22" i="28" s="1"/>
  <c r="N22" i="8"/>
  <c r="N21" i="8"/>
  <c r="S3" i="28"/>
  <c r="V3" i="28" s="1"/>
  <c r="N3" i="28"/>
  <c r="X13" i="28" l="1"/>
  <c r="I7" i="40" s="1"/>
  <c r="I17" i="49" s="1"/>
  <c r="X4" i="28"/>
  <c r="I24" i="40" s="1"/>
  <c r="X18" i="28"/>
  <c r="I25" i="40" s="1"/>
  <c r="X6" i="28"/>
  <c r="I16" i="40" s="1"/>
  <c r="X23" i="28"/>
  <c r="I18" i="40" s="1"/>
  <c r="X5" i="28"/>
  <c r="I26" i="40" s="1"/>
  <c r="X8" i="28"/>
  <c r="I20" i="40" s="1"/>
  <c r="X10" i="28"/>
  <c r="X7" i="28"/>
  <c r="I8" i="40" s="1"/>
  <c r="X17" i="28"/>
  <c r="I13" i="40" s="1"/>
  <c r="X9" i="28"/>
  <c r="I17" i="40" s="1"/>
  <c r="X12" i="28"/>
  <c r="X20" i="28"/>
  <c r="X21" i="28"/>
  <c r="I12" i="40" s="1"/>
  <c r="X22" i="28"/>
  <c r="X16" i="28"/>
  <c r="X3" i="28"/>
  <c r="X15" i="28"/>
  <c r="X19" i="28"/>
  <c r="X11" i="28"/>
  <c r="X14" i="28"/>
  <c r="H19" i="55" l="1"/>
  <c r="H25" i="55"/>
  <c r="I19" i="49"/>
  <c r="H15" i="55"/>
  <c r="I18" i="49"/>
  <c r="H14" i="55"/>
  <c r="H24" i="55"/>
  <c r="I20" i="49"/>
  <c r="I22" i="49"/>
  <c r="H27" i="55"/>
  <c r="I13" i="49"/>
  <c r="H23" i="55"/>
  <c r="I8" i="49"/>
  <c r="H11" i="55"/>
  <c r="I15" i="49"/>
  <c r="H10" i="55"/>
  <c r="I10" i="49"/>
  <c r="H13" i="55"/>
  <c r="H29" i="55"/>
  <c r="I6" i="49"/>
  <c r="H12" i="55"/>
  <c r="I21" i="49"/>
  <c r="I11" i="40"/>
  <c r="I15" i="40"/>
  <c r="I23" i="40"/>
  <c r="I21" i="40"/>
  <c r="I19" i="40"/>
  <c r="I14" i="40"/>
  <c r="I22" i="40"/>
  <c r="I9" i="40"/>
  <c r="I10" i="40"/>
  <c r="H16" i="55" l="1"/>
  <c r="I4" i="49"/>
  <c r="H28" i="55"/>
  <c r="I5" i="49"/>
  <c r="H9" i="55"/>
  <c r="I9" i="49"/>
  <c r="H21" i="55"/>
  <c r="I12" i="49"/>
  <c r="I14" i="49"/>
  <c r="H22" i="55"/>
  <c r="I11" i="49"/>
  <c r="H18" i="55"/>
  <c r="H20" i="55"/>
  <c r="I23" i="49"/>
  <c r="I7" i="49"/>
  <c r="H17" i="55"/>
  <c r="I16" i="49"/>
  <c r="H26" i="55"/>
  <c r="F140" i="15"/>
  <c r="S140" i="15"/>
  <c r="P140" i="15"/>
  <c r="R140" i="15"/>
  <c r="B140" i="15"/>
  <c r="G140" i="15"/>
  <c r="Q140" i="15"/>
  <c r="H140" i="15"/>
  <c r="M140" i="15"/>
  <c r="J140" i="15"/>
  <c r="D140" i="15"/>
  <c r="I140" i="15"/>
  <c r="K140" i="15"/>
  <c r="V140" i="15"/>
  <c r="O140" i="15"/>
  <c r="U140" i="15"/>
  <c r="T140" i="15"/>
  <c r="C140" i="15"/>
  <c r="N140" i="15"/>
  <c r="L140" i="15"/>
  <c r="E140" i="15"/>
  <c r="E16" i="8" l="1"/>
  <c r="AC2" i="12" s="1"/>
  <c r="F16" i="8"/>
  <c r="AD2" i="12" s="1"/>
  <c r="C24" i="18" l="1"/>
  <c r="D24" i="18"/>
  <c r="J24" i="18"/>
  <c r="J26" i="18" s="1" a="1"/>
  <c r="J26" i="18" s="1"/>
  <c r="K10" i="39" s="1"/>
  <c r="P24" i="18"/>
  <c r="P26" i="18" s="1" a="1"/>
  <c r="P26" i="18" s="1"/>
  <c r="K16" i="39" s="1"/>
  <c r="V24" i="18"/>
  <c r="V26" i="18" s="1" a="1"/>
  <c r="V26" i="18" s="1"/>
  <c r="K22" i="39" s="1"/>
  <c r="H24" i="18"/>
  <c r="H26" i="18" s="1" a="1"/>
  <c r="H26" i="18" s="1"/>
  <c r="K8" i="39" s="1"/>
  <c r="K24" i="18"/>
  <c r="K26" i="18" s="1" a="1"/>
  <c r="K26" i="18" s="1"/>
  <c r="K11" i="39" s="1"/>
  <c r="Q24" i="18"/>
  <c r="Q26" i="18" s="1" a="1"/>
  <c r="Q26" i="18" s="1"/>
  <c r="K17" i="39" s="1"/>
  <c r="E24" i="18"/>
  <c r="E26" i="18" s="1" a="1"/>
  <c r="E26" i="18" s="1"/>
  <c r="K5" i="39" s="1"/>
  <c r="L24" i="18"/>
  <c r="L26" i="18" s="1" a="1"/>
  <c r="L26" i="18" s="1"/>
  <c r="K12" i="39" s="1"/>
  <c r="N24" i="18"/>
  <c r="F24" i="18"/>
  <c r="R24" i="18"/>
  <c r="R26" i="18" s="1" a="1"/>
  <c r="R26" i="18" s="1"/>
  <c r="K18" i="39" s="1"/>
  <c r="G24" i="18"/>
  <c r="G26" i="18" s="1" a="1"/>
  <c r="G26" i="18" s="1"/>
  <c r="M24" i="18"/>
  <c r="S24" i="18"/>
  <c r="T24" i="18"/>
  <c r="T26" i="18" s="1" a="1"/>
  <c r="T26" i="18" s="1"/>
  <c r="K20" i="39" s="1"/>
  <c r="I24" i="18"/>
  <c r="O24" i="18"/>
  <c r="O26" i="18" s="1" a="1"/>
  <c r="O26" i="18" s="1"/>
  <c r="K15" i="39" s="1"/>
  <c r="U24" i="18"/>
  <c r="U26" i="18" s="1" a="1"/>
  <c r="U26" i="18" s="1"/>
  <c r="K21" i="39" s="1"/>
  <c r="F26" i="18" l="1" a="1"/>
  <c r="F26" i="18" s="1"/>
  <c r="K6" i="39" s="1"/>
  <c r="I26" i="18" a="1"/>
  <c r="I26" i="18" s="1"/>
  <c r="K9" i="39" s="1"/>
  <c r="N26" i="18" a="1"/>
  <c r="N26" i="18" s="1"/>
  <c r="K14" i="39" s="1"/>
  <c r="S26" i="18" a="1"/>
  <c r="S26" i="18" s="1"/>
  <c r="K19" i="39" s="1"/>
  <c r="M26" i="18" a="1"/>
  <c r="M26" i="18" s="1"/>
  <c r="K13" i="39" s="1"/>
  <c r="D26" i="18" a="1"/>
  <c r="D26" i="18" s="1"/>
  <c r="K4" i="39" s="1"/>
  <c r="K7" i="39"/>
  <c r="C26" i="18" a="1"/>
  <c r="C26" i="18" s="1"/>
  <c r="K3" i="39" s="1"/>
  <c r="P2" i="39" l="1" a="1"/>
  <c r="P2" i="39" s="1"/>
  <c r="R2" i="39" s="1"/>
  <c r="P22" i="39" a="1"/>
  <c r="P22" i="39" s="1"/>
  <c r="R22" i="39" s="1"/>
  <c r="P18" i="39" a="1"/>
  <c r="P18" i="39" s="1"/>
  <c r="R18" i="39" s="1"/>
  <c r="P14" i="39" a="1"/>
  <c r="P14" i="39" s="1"/>
  <c r="R14" i="39" s="1"/>
  <c r="P10" i="39" a="1"/>
  <c r="P10" i="39" s="1"/>
  <c r="R10" i="39" s="1"/>
  <c r="P6" i="39" a="1"/>
  <c r="P6" i="39" s="1"/>
  <c r="R6" i="39" s="1"/>
  <c r="P15" i="39" a="1"/>
  <c r="P15" i="39" s="1"/>
  <c r="R15" i="39" s="1"/>
  <c r="P7" i="39" a="1"/>
  <c r="P7" i="39" s="1"/>
  <c r="R7" i="39" s="1"/>
  <c r="P21" i="39" a="1"/>
  <c r="P21" i="39" s="1"/>
  <c r="R21" i="39" s="1"/>
  <c r="P17" i="39" a="1"/>
  <c r="P17" i="39" s="1"/>
  <c r="R17" i="39" s="1"/>
  <c r="P13" i="39" a="1"/>
  <c r="P13" i="39" s="1"/>
  <c r="R13" i="39" s="1"/>
  <c r="P9" i="39" a="1"/>
  <c r="P9" i="39" s="1"/>
  <c r="R9" i="39" s="1"/>
  <c r="P5" i="39" a="1"/>
  <c r="P5" i="39" s="1"/>
  <c r="R5" i="39" s="1"/>
  <c r="P20" i="39" a="1"/>
  <c r="P20" i="39" s="1"/>
  <c r="R20" i="39" s="1"/>
  <c r="P16" i="39" a="1"/>
  <c r="P16" i="39" s="1"/>
  <c r="R16" i="39" s="1"/>
  <c r="P12" i="39" a="1"/>
  <c r="P12" i="39" s="1"/>
  <c r="R12" i="39" s="1"/>
  <c r="P8" i="39" a="1"/>
  <c r="P8" i="39" s="1"/>
  <c r="R8" i="39" s="1"/>
  <c r="P4" i="39" a="1"/>
  <c r="P4" i="39" s="1"/>
  <c r="R4" i="39" s="1"/>
  <c r="P19" i="39" a="1"/>
  <c r="P19" i="39" s="1"/>
  <c r="R19" i="39" s="1"/>
  <c r="P11" i="39" a="1"/>
  <c r="P11" i="39" s="1"/>
  <c r="R11" i="39" s="1"/>
  <c r="P3" i="39" a="1"/>
  <c r="P3" i="39" s="1"/>
  <c r="R3" i="39" s="1"/>
  <c r="D133" i="15"/>
  <c r="H6" i="13" s="1"/>
  <c r="E133" i="15"/>
  <c r="H7" i="13" s="1"/>
  <c r="F133" i="15"/>
  <c r="H8" i="13" s="1"/>
  <c r="G133" i="15"/>
  <c r="H9" i="13" s="1"/>
  <c r="J133" i="15"/>
  <c r="H12" i="13" s="1"/>
  <c r="K133" i="15"/>
  <c r="H13" i="13" s="1"/>
  <c r="N133" i="15"/>
  <c r="H16" i="13" s="1"/>
  <c r="O133" i="15"/>
  <c r="H17" i="13" s="1"/>
  <c r="Q133" i="15"/>
  <c r="H19" i="13" s="1"/>
  <c r="R133" i="15"/>
  <c r="H20" i="13" s="1"/>
  <c r="S133" i="15"/>
  <c r="H21" i="13" s="1"/>
  <c r="S3" i="39" l="1" a="1"/>
  <c r="S3" i="39" s="1"/>
  <c r="E24" i="40" s="1"/>
  <c r="F15" i="49" s="1"/>
  <c r="S6" i="39" a="1"/>
  <c r="S6" i="39" s="1"/>
  <c r="E8" i="40" s="1"/>
  <c r="S11" i="39" a="1"/>
  <c r="S11" i="39" s="1"/>
  <c r="E9" i="40" s="1"/>
  <c r="F11" i="49" s="1"/>
  <c r="S14" i="39" a="1"/>
  <c r="S14" i="39" s="1"/>
  <c r="E15" i="40" s="1"/>
  <c r="S19" i="39" a="1"/>
  <c r="S19" i="39" s="1"/>
  <c r="E23" i="40" s="1"/>
  <c r="S22" i="39" a="1"/>
  <c r="S22" i="39" s="1"/>
  <c r="E18" i="40" s="1"/>
  <c r="S4" i="39" a="1"/>
  <c r="S4" i="39" s="1"/>
  <c r="E26" i="40" s="1"/>
  <c r="F8" i="49" s="1"/>
  <c r="S9" i="39" a="1"/>
  <c r="S9" i="39" s="1"/>
  <c r="E10" i="40" s="1"/>
  <c r="S12" i="39" a="1"/>
  <c r="S12" i="39" s="1"/>
  <c r="E7" i="40" s="1"/>
  <c r="S17" i="39" a="1"/>
  <c r="S17" i="39" s="1"/>
  <c r="E25" i="40" s="1"/>
  <c r="S20" i="39" a="1"/>
  <c r="S20" i="39" s="1"/>
  <c r="E12" i="40" s="1"/>
  <c r="S7" i="39" a="1"/>
  <c r="S7" i="39" s="1"/>
  <c r="E20" i="40" s="1"/>
  <c r="S10" i="39" a="1"/>
  <c r="S10" i="39" s="1"/>
  <c r="E19" i="40" s="1"/>
  <c r="F7" i="49" s="1"/>
  <c r="S15" i="39" a="1"/>
  <c r="S15" i="39" s="1"/>
  <c r="E11" i="40" s="1"/>
  <c r="S18" i="39" a="1"/>
  <c r="S18" i="39" s="1"/>
  <c r="S2" i="39" a="1"/>
  <c r="S2" i="39" s="1"/>
  <c r="E14" i="40" s="1"/>
  <c r="S5" i="39" a="1"/>
  <c r="S5" i="39" s="1"/>
  <c r="E16" i="40" s="1"/>
  <c r="S8" i="39" a="1"/>
  <c r="S8" i="39" s="1"/>
  <c r="E17" i="40" s="1"/>
  <c r="S13" i="39" a="1"/>
  <c r="S13" i="39" s="1"/>
  <c r="E21" i="40" s="1"/>
  <c r="S16" i="39" a="1"/>
  <c r="S16" i="39" s="1"/>
  <c r="E13" i="40" s="1"/>
  <c r="F13" i="49" s="1"/>
  <c r="S21" i="39" a="1"/>
  <c r="S21" i="39" s="1"/>
  <c r="E22" i="40" s="1"/>
  <c r="T133" i="15"/>
  <c r="H22" i="13" s="1"/>
  <c r="M133" i="15"/>
  <c r="H15" i="13" s="1"/>
  <c r="P133" i="15"/>
  <c r="H18" i="13" s="1"/>
  <c r="V133" i="15"/>
  <c r="H24" i="13" s="1"/>
  <c r="H133" i="15"/>
  <c r="H10" i="13" s="1"/>
  <c r="U133" i="15"/>
  <c r="H23" i="13" s="1"/>
  <c r="I133" i="15"/>
  <c r="H11" i="13" s="1"/>
  <c r="L133" i="15"/>
  <c r="H14" i="13" s="1"/>
  <c r="F17" i="49" l="1"/>
  <c r="F5" i="49"/>
  <c r="F14" i="49"/>
  <c r="F21" i="49"/>
  <c r="F16" i="49"/>
  <c r="F4" i="49"/>
  <c r="F19" i="49"/>
  <c r="F12" i="49"/>
  <c r="F10" i="49"/>
  <c r="F6" i="49"/>
  <c r="F23" i="49"/>
  <c r="F20" i="49"/>
  <c r="F9" i="49"/>
  <c r="F18" i="49"/>
  <c r="F22" i="49"/>
  <c r="N24" i="55" l="1"/>
  <c r="C133" i="15"/>
  <c r="H5" i="13" s="1"/>
  <c r="B133" i="15"/>
  <c r="H4" i="13" s="1"/>
  <c r="M13" i="13" l="1"/>
  <c r="M17" i="13"/>
  <c r="M22" i="13"/>
  <c r="M14" i="13"/>
  <c r="M6" i="13"/>
  <c r="M9" i="13"/>
  <c r="M18" i="13"/>
  <c r="M8" i="13"/>
  <c r="M19" i="13"/>
  <c r="M24" i="13"/>
  <c r="M11" i="13"/>
  <c r="M21" i="13"/>
  <c r="M16" i="13"/>
  <c r="M10" i="13"/>
  <c r="M5" i="13"/>
  <c r="M15" i="13"/>
  <c r="M7" i="13"/>
  <c r="M20" i="13"/>
  <c r="M23" i="13"/>
  <c r="M12" i="13"/>
  <c r="M4" i="13"/>
  <c r="R132" i="5" l="1"/>
  <c r="E20" i="13" s="1"/>
  <c r="T132" i="5"/>
  <c r="E22" i="13" s="1"/>
  <c r="M132" i="5" l="1"/>
  <c r="E15" i="13" s="1"/>
  <c r="Q132" i="5"/>
  <c r="E19" i="13" s="1"/>
  <c r="F132" i="5"/>
  <c r="E8" i="13" s="1"/>
  <c r="N132" i="5"/>
  <c r="E16" i="13" s="1"/>
  <c r="S132" i="5"/>
  <c r="E21" i="13" s="1"/>
  <c r="O132" i="5"/>
  <c r="E17" i="13" s="1"/>
  <c r="U132" i="5"/>
  <c r="E23" i="13" s="1"/>
  <c r="P132" i="5"/>
  <c r="E18" i="13" s="1"/>
  <c r="G132" i="5"/>
  <c r="E9" i="13" s="1"/>
  <c r="E132" i="5"/>
  <c r="E7" i="13" s="1"/>
  <c r="D132" i="5"/>
  <c r="E6" i="13" s="1"/>
  <c r="I132" i="5"/>
  <c r="E11" i="13" s="1"/>
  <c r="H132" i="5"/>
  <c r="E10" i="13" s="1"/>
  <c r="V132" i="5"/>
  <c r="E24" i="13" s="1"/>
  <c r="J132" i="5"/>
  <c r="E12" i="13" s="1"/>
  <c r="C132" i="5"/>
  <c r="E5" i="13" s="1"/>
  <c r="B132" i="5"/>
  <c r="E4" i="13" s="1"/>
  <c r="L132" i="5"/>
  <c r="E14" i="13" s="1"/>
  <c r="K132" i="5"/>
  <c r="E13" i="13" s="1"/>
  <c r="Z2" i="12" l="1"/>
  <c r="H16" i="8"/>
  <c r="AB2" i="12" s="1"/>
  <c r="G16" i="8"/>
  <c r="AA2" i="12" s="1"/>
  <c r="F12" i="8"/>
  <c r="W2" i="12" s="1"/>
  <c r="G12" i="8"/>
  <c r="X2" i="12" s="1"/>
  <c r="E12" i="8"/>
  <c r="V2" i="12" s="1"/>
  <c r="AH2" i="12" l="1"/>
  <c r="L13" i="13"/>
  <c r="P13" i="13" s="1"/>
  <c r="L15" i="13"/>
  <c r="P15" i="13" s="1"/>
  <c r="L8" i="13"/>
  <c r="P8" i="13" s="1"/>
  <c r="L21" i="13"/>
  <c r="P21" i="13" s="1"/>
  <c r="L16" i="13"/>
  <c r="P16" i="13" s="1"/>
  <c r="L22" i="13"/>
  <c r="P22" i="13" s="1"/>
  <c r="L23" i="13"/>
  <c r="P23" i="13" s="1"/>
  <c r="L17" i="13"/>
  <c r="P17" i="13" s="1"/>
  <c r="L18" i="13"/>
  <c r="P18" i="13" s="1"/>
  <c r="L4" i="13"/>
  <c r="P4" i="13" s="1"/>
  <c r="L6" i="13"/>
  <c r="P6" i="13" s="1"/>
  <c r="L9" i="13"/>
  <c r="P9" i="13" s="1"/>
  <c r="L14" i="13"/>
  <c r="P14" i="13" s="1"/>
  <c r="L5" i="13"/>
  <c r="P5" i="13" s="1"/>
  <c r="L12" i="13"/>
  <c r="P12" i="13" s="1"/>
  <c r="L7" i="13"/>
  <c r="P7" i="13" s="1"/>
  <c r="L20" i="13"/>
  <c r="P20" i="13" s="1"/>
  <c r="L19" i="13"/>
  <c r="P19" i="13" s="1"/>
  <c r="L24" i="13"/>
  <c r="P24" i="13" s="1"/>
  <c r="L11" i="13"/>
  <c r="P11" i="13" s="1"/>
  <c r="L10" i="13"/>
  <c r="P10" i="13" s="1"/>
  <c r="R5" i="13" l="1" a="1"/>
  <c r="R5" i="13" s="1"/>
  <c r="F24" i="40" s="1"/>
  <c r="G24" i="40" s="1"/>
  <c r="R8" i="13" a="1"/>
  <c r="R8" i="13" s="1"/>
  <c r="F8" i="40" s="1"/>
  <c r="G8" i="40" s="1"/>
  <c r="R13" i="13" a="1"/>
  <c r="R13" i="13" s="1"/>
  <c r="F9" i="40" s="1"/>
  <c r="G9" i="40" s="1"/>
  <c r="R16" i="13" a="1"/>
  <c r="R16" i="13" s="1"/>
  <c r="F15" i="40" s="1"/>
  <c r="G15" i="40" s="1"/>
  <c r="R21" i="13" a="1"/>
  <c r="R21" i="13" s="1"/>
  <c r="F23" i="40" s="1"/>
  <c r="G23" i="40" s="1"/>
  <c r="R24" i="13" a="1"/>
  <c r="R24" i="13" s="1"/>
  <c r="F18" i="40" s="1"/>
  <c r="G18" i="40" s="1"/>
  <c r="R6" i="13" a="1"/>
  <c r="R6" i="13" s="1"/>
  <c r="F26" i="40" s="1"/>
  <c r="G26" i="40" s="1"/>
  <c r="R11" i="13" a="1"/>
  <c r="R11" i="13" s="1"/>
  <c r="F10" i="40" s="1"/>
  <c r="G10" i="40" s="1"/>
  <c r="R14" i="13" a="1"/>
  <c r="R14" i="13" s="1"/>
  <c r="F7" i="40" s="1"/>
  <c r="G7" i="40" s="1"/>
  <c r="R19" i="13" a="1"/>
  <c r="R19" i="13" s="1"/>
  <c r="F25" i="40" s="1"/>
  <c r="G25" i="40" s="1"/>
  <c r="R22" i="13" a="1"/>
  <c r="R22" i="13" s="1"/>
  <c r="F12" i="40" s="1"/>
  <c r="G12" i="40" s="1"/>
  <c r="R9" i="13" a="1"/>
  <c r="R9" i="13" s="1"/>
  <c r="F20" i="40" s="1"/>
  <c r="G20" i="40" s="1"/>
  <c r="R12" i="13" a="1"/>
  <c r="R12" i="13" s="1"/>
  <c r="F19" i="40" s="1"/>
  <c r="G19" i="40" s="1"/>
  <c r="R17" i="13" a="1"/>
  <c r="R17" i="13" s="1"/>
  <c r="F11" i="40" s="1"/>
  <c r="G11" i="40" s="1"/>
  <c r="R20" i="13" a="1"/>
  <c r="R20" i="13" s="1"/>
  <c r="R7" i="13" a="1"/>
  <c r="R7" i="13" s="1"/>
  <c r="F16" i="40" s="1"/>
  <c r="G16" i="40" s="1"/>
  <c r="R10" i="13" a="1"/>
  <c r="R10" i="13" s="1"/>
  <c r="F17" i="40" s="1"/>
  <c r="G17" i="40" s="1"/>
  <c r="R15" i="13" a="1"/>
  <c r="R15" i="13" s="1"/>
  <c r="F21" i="40" s="1"/>
  <c r="G21" i="40" s="1"/>
  <c r="R18" i="13" a="1"/>
  <c r="R18" i="13" s="1"/>
  <c r="F13" i="40" s="1"/>
  <c r="G13" i="40" s="1"/>
  <c r="R23" i="13" a="1"/>
  <c r="R23" i="13" s="1"/>
  <c r="F22" i="40" s="1"/>
  <c r="G22" i="40" s="1"/>
  <c r="R4" i="13" a="1"/>
  <c r="R4" i="13" s="1"/>
  <c r="F14" i="40" s="1"/>
  <c r="G14" i="40" s="1"/>
  <c r="G10" i="49"/>
  <c r="I21" i="12"/>
  <c r="I13" i="12"/>
  <c r="H5" i="12"/>
  <c r="K26" i="40" s="1"/>
  <c r="I5" i="12"/>
  <c r="I23" i="12"/>
  <c r="I3" i="12"/>
  <c r="H10" i="12"/>
  <c r="K10" i="40" s="1"/>
  <c r="G22" i="49" l="1"/>
  <c r="G8" i="49"/>
  <c r="H22" i="40" a="1"/>
  <c r="H22" i="40" s="1"/>
  <c r="H19" i="40" a="1"/>
  <c r="H19" i="40" s="1"/>
  <c r="H15" i="40" a="1"/>
  <c r="H15" i="40" s="1"/>
  <c r="H24" i="40" a="1"/>
  <c r="H24" i="40" s="1"/>
  <c r="H25" i="40" a="1"/>
  <c r="H25" i="40" s="1"/>
  <c r="H21" i="40" a="1"/>
  <c r="H21" i="40" s="1"/>
  <c r="H18" i="40" a="1"/>
  <c r="H18" i="40" s="1"/>
  <c r="H8" i="40" a="1"/>
  <c r="H8" i="40" s="1"/>
  <c r="H13" i="40" a="1"/>
  <c r="H13" i="40" s="1"/>
  <c r="H20" i="40" a="1"/>
  <c r="H20" i="40" s="1"/>
  <c r="H16" i="40" a="1"/>
  <c r="H16" i="40" s="1"/>
  <c r="H26" i="40" a="1"/>
  <c r="H26" i="40" s="1"/>
  <c r="H9" i="40" a="1"/>
  <c r="H9" i="40" s="1"/>
  <c r="H23" i="40" a="1"/>
  <c r="H23" i="40" s="1"/>
  <c r="H17" i="40" a="1"/>
  <c r="H17" i="40" s="1"/>
  <c r="H10" i="40" a="1"/>
  <c r="H10" i="40" s="1"/>
  <c r="H14" i="40" a="1"/>
  <c r="H14" i="40" s="1"/>
  <c r="H11" i="40" a="1"/>
  <c r="H11" i="40" s="1"/>
  <c r="H7" i="40" a="1"/>
  <c r="H7" i="40" s="1"/>
  <c r="H12" i="40" a="1"/>
  <c r="H12" i="40" s="1"/>
  <c r="G17" i="49"/>
  <c r="P16" i="55"/>
  <c r="N28" i="55"/>
  <c r="N12" i="55"/>
  <c r="N14" i="55"/>
  <c r="N16" i="55"/>
  <c r="N21" i="55"/>
  <c r="N23" i="55"/>
  <c r="N25" i="55"/>
  <c r="N27" i="55"/>
  <c r="N11" i="55"/>
  <c r="N18" i="55"/>
  <c r="P11" i="55"/>
  <c r="N20" i="55"/>
  <c r="N22" i="55"/>
  <c r="N29" i="55"/>
  <c r="N13" i="55"/>
  <c r="N9" i="55"/>
  <c r="N15" i="55"/>
  <c r="N17" i="55"/>
  <c r="N19" i="55"/>
  <c r="N26" i="55"/>
  <c r="N10" i="55"/>
  <c r="G16" i="49"/>
  <c r="G14" i="49"/>
  <c r="G15" i="49"/>
  <c r="G6" i="49"/>
  <c r="G21" i="49"/>
  <c r="G12" i="49"/>
  <c r="G4" i="49"/>
  <c r="G7" i="49"/>
  <c r="G18" i="49"/>
  <c r="G20" i="49"/>
  <c r="G19" i="49"/>
  <c r="G23" i="49"/>
  <c r="G5" i="49"/>
  <c r="G13" i="49"/>
  <c r="G11" i="49"/>
  <c r="G9" i="49"/>
  <c r="J5" i="12"/>
  <c r="H3" i="12"/>
  <c r="K14" i="40" s="1"/>
  <c r="H21" i="12"/>
  <c r="K12" i="40" s="1"/>
  <c r="I16" i="12"/>
  <c r="H19" i="12"/>
  <c r="I8" i="12"/>
  <c r="I18" i="12"/>
  <c r="I19" i="12"/>
  <c r="H13" i="12"/>
  <c r="K7" i="40" s="1"/>
  <c r="H8" i="12"/>
  <c r="K20" i="40" s="1"/>
  <c r="I22" i="12"/>
  <c r="H12" i="12"/>
  <c r="K9" i="40" s="1"/>
  <c r="I9" i="12"/>
  <c r="H18" i="12"/>
  <c r="K25" i="40" s="1"/>
  <c r="I4" i="12"/>
  <c r="I7" i="12"/>
  <c r="I12" i="12"/>
  <c r="I11" i="12"/>
  <c r="H4" i="12"/>
  <c r="K24" i="40" s="1"/>
  <c r="I14" i="12"/>
  <c r="H14" i="12"/>
  <c r="K21" i="40" s="1"/>
  <c r="I10" i="12"/>
  <c r="J10" i="12" s="1"/>
  <c r="I20" i="12"/>
  <c r="I6" i="12"/>
  <c r="I17" i="12"/>
  <c r="I15" i="12"/>
  <c r="H7" i="12"/>
  <c r="K8" i="40" s="1"/>
  <c r="H9" i="12"/>
  <c r="K17" i="40" s="1"/>
  <c r="H20" i="12"/>
  <c r="K23" i="40" s="1"/>
  <c r="H23" i="12"/>
  <c r="K18" i="40" s="1"/>
  <c r="H17" i="12"/>
  <c r="K13" i="40" s="1"/>
  <c r="H11" i="12"/>
  <c r="K19" i="40" s="1"/>
  <c r="H6" i="12"/>
  <c r="K16" i="40" s="1"/>
  <c r="H16" i="12"/>
  <c r="K11" i="40" s="1"/>
  <c r="H22" i="12"/>
  <c r="K22" i="40" s="1"/>
  <c r="H15" i="12"/>
  <c r="K15" i="40" s="1"/>
  <c r="H17" i="49" l="1"/>
  <c r="G19" i="55"/>
  <c r="L19" i="55" s="1"/>
  <c r="G16" i="55"/>
  <c r="L16" i="55" s="1"/>
  <c r="H4" i="49"/>
  <c r="G11" i="55"/>
  <c r="L11" i="55" s="1"/>
  <c r="H8" i="49"/>
  <c r="H10" i="49"/>
  <c r="G13" i="55"/>
  <c r="L13" i="55" s="1"/>
  <c r="H15" i="49"/>
  <c r="G10" i="55"/>
  <c r="L10" i="55" s="1"/>
  <c r="H14" i="49"/>
  <c r="G22" i="55"/>
  <c r="L22" i="55" s="1"/>
  <c r="G15" i="55"/>
  <c r="L15" i="55" s="1"/>
  <c r="H19" i="49"/>
  <c r="H21" i="49"/>
  <c r="G12" i="55"/>
  <c r="L12" i="55" s="1"/>
  <c r="H6" i="49"/>
  <c r="G29" i="55"/>
  <c r="L29" i="55" s="1"/>
  <c r="G21" i="55"/>
  <c r="L21" i="55" s="1"/>
  <c r="H12" i="49"/>
  <c r="H9" i="49"/>
  <c r="G9" i="55"/>
  <c r="L9" i="55" s="1"/>
  <c r="H16" i="49"/>
  <c r="G26" i="55"/>
  <c r="L26" i="55" s="1"/>
  <c r="H18" i="49"/>
  <c r="G14" i="55"/>
  <c r="L14" i="55" s="1"/>
  <c r="G20" i="55"/>
  <c r="L20" i="55" s="1"/>
  <c r="H23" i="49"/>
  <c r="H7" i="49"/>
  <c r="G17" i="55"/>
  <c r="L17" i="55" s="1"/>
  <c r="G27" i="55"/>
  <c r="L27" i="55" s="1"/>
  <c r="H22" i="49"/>
  <c r="G25" i="55"/>
  <c r="L25" i="55" s="1"/>
  <c r="H11" i="49"/>
  <c r="G18" i="55"/>
  <c r="L18" i="55" s="1"/>
  <c r="H13" i="49"/>
  <c r="G23" i="55"/>
  <c r="L23" i="55" s="1"/>
  <c r="G24" i="55"/>
  <c r="L24" i="55" s="1"/>
  <c r="H20" i="49"/>
  <c r="G28" i="55"/>
  <c r="L28" i="55" s="1"/>
  <c r="H5" i="49"/>
  <c r="P12" i="55"/>
  <c r="P21" i="55"/>
  <c r="P17" i="55"/>
  <c r="P15" i="55"/>
  <c r="P18" i="55"/>
  <c r="P23" i="55"/>
  <c r="P10" i="55"/>
  <c r="P27" i="55"/>
  <c r="P28" i="55"/>
  <c r="P13" i="55"/>
  <c r="P22" i="55"/>
  <c r="P29" i="55"/>
  <c r="P14" i="55"/>
  <c r="P9" i="55"/>
  <c r="N30" i="55"/>
  <c r="O19" i="55" s="1"/>
  <c r="P26" i="55"/>
  <c r="P20" i="55"/>
  <c r="P19" i="55"/>
  <c r="P25" i="55"/>
  <c r="AA6" i="12" a="1"/>
  <c r="AA6" i="12" s="1"/>
  <c r="AA9" i="12" a="1"/>
  <c r="AA9" i="12" s="1"/>
  <c r="AA14" i="12" a="1"/>
  <c r="AA14" i="12" s="1"/>
  <c r="AA17" i="12" a="1"/>
  <c r="AA17" i="12" s="1"/>
  <c r="AA22" i="12" a="1"/>
  <c r="AA22" i="12" s="1"/>
  <c r="AA3" i="12" a="1"/>
  <c r="AA3" i="12" s="1"/>
  <c r="AA4" i="12" a="1"/>
  <c r="AA4" i="12" s="1"/>
  <c r="AA7" i="12" a="1"/>
  <c r="AA7" i="12" s="1"/>
  <c r="AA12" i="12" a="1"/>
  <c r="AA12" i="12" s="1"/>
  <c r="AA15" i="12" a="1"/>
  <c r="AA15" i="12" s="1"/>
  <c r="AA20" i="12" a="1"/>
  <c r="AA20" i="12" s="1"/>
  <c r="AA23" i="12" a="1"/>
  <c r="AA23" i="12" s="1"/>
  <c r="AA5" i="12" a="1"/>
  <c r="AA5" i="12" s="1"/>
  <c r="AA10" i="12" a="1"/>
  <c r="AA10" i="12" s="1"/>
  <c r="AA13" i="12" a="1"/>
  <c r="AA13" i="12" s="1"/>
  <c r="AA18" i="12" a="1"/>
  <c r="AA18" i="12" s="1"/>
  <c r="AA21" i="12" a="1"/>
  <c r="AA21" i="12" s="1"/>
  <c r="AA8" i="12" a="1"/>
  <c r="AA8" i="12" s="1"/>
  <c r="AA11" i="12" a="1"/>
  <c r="AA11" i="12" s="1"/>
  <c r="AA16" i="12" a="1"/>
  <c r="AA16" i="12" s="1"/>
  <c r="AA19" i="12" a="1"/>
  <c r="AA19" i="12" s="1"/>
  <c r="J15" i="12"/>
  <c r="J23" i="12"/>
  <c r="J21" i="12"/>
  <c r="J9" i="12"/>
  <c r="J13" i="12"/>
  <c r="J11" i="12"/>
  <c r="J3" i="12"/>
  <c r="J22" i="12"/>
  <c r="J16" i="12"/>
  <c r="J14" i="12"/>
  <c r="J8" i="12"/>
  <c r="J6" i="12"/>
  <c r="J12" i="12"/>
  <c r="J7" i="12"/>
  <c r="J20" i="12"/>
  <c r="J4" i="12"/>
  <c r="J18" i="12"/>
  <c r="J19" i="12"/>
  <c r="J17" i="12"/>
  <c r="L30" i="55" l="1"/>
  <c r="M11" i="55" s="1"/>
  <c r="O12" i="55"/>
  <c r="O18" i="55"/>
  <c r="O21" i="55"/>
  <c r="O13" i="55"/>
  <c r="O16" i="55"/>
  <c r="O20" i="55"/>
  <c r="O17" i="55"/>
  <c r="O25" i="55"/>
  <c r="O15" i="55"/>
  <c r="O24" i="55"/>
  <c r="O23" i="55"/>
  <c r="O29" i="55"/>
  <c r="O26" i="55"/>
  <c r="O28" i="55"/>
  <c r="O11" i="55"/>
  <c r="O10" i="55"/>
  <c r="O27" i="55"/>
  <c r="O9" i="55"/>
  <c r="P30" i="55"/>
  <c r="Q22" i="55" s="1"/>
  <c r="O14" i="55"/>
  <c r="O22" i="55"/>
  <c r="AB6" i="12" a="1"/>
  <c r="AB6" i="12" s="1"/>
  <c r="AH6" i="12" s="1"/>
  <c r="AB9" i="12" a="1"/>
  <c r="AB9" i="12" s="1"/>
  <c r="AH9" i="12" s="1"/>
  <c r="AB14" i="12" a="1"/>
  <c r="AB14" i="12" s="1"/>
  <c r="AH14" i="12" s="1"/>
  <c r="AB17" i="12" a="1"/>
  <c r="AB17" i="12" s="1"/>
  <c r="AH17" i="12" s="1"/>
  <c r="AB22" i="12" a="1"/>
  <c r="AB22" i="12" s="1"/>
  <c r="AH22" i="12" s="1"/>
  <c r="AB3" i="12" a="1"/>
  <c r="AB3" i="12" s="1"/>
  <c r="AH3" i="12" s="1"/>
  <c r="AB4" i="12" a="1"/>
  <c r="AB4" i="12" s="1"/>
  <c r="AH4" i="12" s="1"/>
  <c r="AB7" i="12" a="1"/>
  <c r="AB7" i="12" s="1"/>
  <c r="AH7" i="12" s="1"/>
  <c r="AB12" i="12" a="1"/>
  <c r="AB12" i="12" s="1"/>
  <c r="AH12" i="12" s="1"/>
  <c r="AB15" i="12" a="1"/>
  <c r="AB15" i="12" s="1"/>
  <c r="AH15" i="12" s="1"/>
  <c r="AB20" i="12" a="1"/>
  <c r="AB20" i="12" s="1"/>
  <c r="AH20" i="12" s="1"/>
  <c r="AB23" i="12" a="1"/>
  <c r="AB23" i="12" s="1"/>
  <c r="AH23" i="12" s="1"/>
  <c r="AB5" i="12" a="1"/>
  <c r="AB5" i="12" s="1"/>
  <c r="AH5" i="12" s="1"/>
  <c r="AB10" i="12" a="1"/>
  <c r="AB10" i="12" s="1"/>
  <c r="AH10" i="12" s="1"/>
  <c r="AB13" i="12" a="1"/>
  <c r="AB13" i="12" s="1"/>
  <c r="AH13" i="12" s="1"/>
  <c r="AB18" i="12" a="1"/>
  <c r="AB18" i="12" s="1"/>
  <c r="AH18" i="12" s="1"/>
  <c r="AB21" i="12" a="1"/>
  <c r="AB21" i="12" s="1"/>
  <c r="AH21" i="12" s="1"/>
  <c r="AB8" i="12" a="1"/>
  <c r="AB8" i="12" s="1"/>
  <c r="AK8" i="12" s="1"/>
  <c r="AB11" i="12" a="1"/>
  <c r="AB11" i="12" s="1"/>
  <c r="AH11" i="12" s="1"/>
  <c r="AB16" i="12" a="1"/>
  <c r="AB16" i="12" s="1"/>
  <c r="AH16" i="12" s="1"/>
  <c r="AB19" i="12" a="1"/>
  <c r="AB19" i="12" s="1"/>
  <c r="AH19" i="12" s="1"/>
  <c r="AH8" i="12" l="1"/>
  <c r="M25" i="55"/>
  <c r="M12" i="55"/>
  <c r="M14" i="55"/>
  <c r="M27" i="55"/>
  <c r="M19" i="55"/>
  <c r="M26" i="55"/>
  <c r="M17" i="55"/>
  <c r="M20" i="55"/>
  <c r="M28" i="55"/>
  <c r="M13" i="55"/>
  <c r="M21" i="55"/>
  <c r="M16" i="55"/>
  <c r="M15" i="55"/>
  <c r="M29" i="55"/>
  <c r="M24" i="55"/>
  <c r="M22" i="55"/>
  <c r="M9" i="55"/>
  <c r="M23" i="55"/>
  <c r="M10" i="55"/>
  <c r="M18" i="55"/>
  <c r="AK17" i="12"/>
  <c r="AK18" i="12"/>
  <c r="Q18" i="55"/>
  <c r="Q12" i="55"/>
  <c r="Q29" i="55"/>
  <c r="Q28" i="55"/>
  <c r="Q9" i="55"/>
  <c r="Q20" i="55"/>
  <c r="Q21" i="55"/>
  <c r="Q24" i="55"/>
  <c r="Q11" i="55"/>
  <c r="Q16" i="55"/>
  <c r="Q25" i="55"/>
  <c r="Q10" i="55"/>
  <c r="Q15" i="55"/>
  <c r="Q14" i="55"/>
  <c r="Q26" i="55"/>
  <c r="Q23" i="55"/>
  <c r="Q17" i="55"/>
  <c r="Q13" i="55"/>
  <c r="Q19" i="55"/>
  <c r="Q27" i="55"/>
  <c r="AK14" i="12"/>
  <c r="AK21" i="12"/>
  <c r="AK23" i="12"/>
  <c r="AK20" i="12"/>
  <c r="AK7" i="12"/>
  <c r="AK22" i="12"/>
  <c r="AK3" i="12"/>
  <c r="AK19" i="12"/>
  <c r="AK5" i="12"/>
  <c r="AK12" i="12"/>
  <c r="AK11" i="12"/>
  <c r="AK6" i="12"/>
  <c r="AK15" i="12"/>
  <c r="AK16" i="12"/>
  <c r="AK9" i="12"/>
  <c r="AK13" i="12"/>
  <c r="AK4" i="12"/>
  <c r="AK10" i="12"/>
  <c r="AJ4" i="12" l="1" a="1"/>
  <c r="AJ4" i="12" s="1"/>
  <c r="J24" i="40" s="1"/>
  <c r="AJ8" i="12" a="1"/>
  <c r="AJ8" i="12" s="1"/>
  <c r="J20" i="40" s="1"/>
  <c r="AJ15" i="12" a="1"/>
  <c r="AJ15" i="12" s="1"/>
  <c r="J15" i="40" s="1"/>
  <c r="AJ22" i="12" a="1"/>
  <c r="AJ22" i="12" s="1"/>
  <c r="J22" i="40" s="1"/>
  <c r="AJ6" i="12" a="1"/>
  <c r="AJ6" i="12" s="1"/>
  <c r="J16" i="40" s="1"/>
  <c r="AJ19" i="12" a="1"/>
  <c r="AJ19" i="12" s="1"/>
  <c r="AJ13" i="12" a="1"/>
  <c r="AJ13" i="12" s="1"/>
  <c r="J7" i="40" s="1"/>
  <c r="AJ12" i="12" a="1"/>
  <c r="AJ12" i="12" s="1"/>
  <c r="J9" i="40" s="1"/>
  <c r="AJ9" i="12" a="1"/>
  <c r="AJ9" i="12" s="1"/>
  <c r="J17" i="40" s="1"/>
  <c r="AJ18" i="12" a="1"/>
  <c r="AJ18" i="12" s="1"/>
  <c r="J25" i="40" s="1"/>
  <c r="AJ3" i="12" a="1"/>
  <c r="AJ3" i="12" s="1"/>
  <c r="J14" i="40" s="1"/>
  <c r="AJ17" i="12" a="1"/>
  <c r="AJ17" i="12" s="1"/>
  <c r="J13" i="40" s="1"/>
  <c r="AJ16" i="12" a="1"/>
  <c r="AJ16" i="12" s="1"/>
  <c r="J11" i="40" s="1"/>
  <c r="AJ10" i="12" a="1"/>
  <c r="AJ10" i="12" s="1"/>
  <c r="J10" i="40" s="1"/>
  <c r="AJ23" i="12" a="1"/>
  <c r="AJ23" i="12" s="1"/>
  <c r="J18" i="40" s="1"/>
  <c r="AJ7" i="12" a="1"/>
  <c r="AJ7" i="12" s="1"/>
  <c r="J8" i="40" s="1"/>
  <c r="AJ14" i="12" a="1"/>
  <c r="AJ14" i="12" s="1"/>
  <c r="J21" i="40" s="1"/>
  <c r="AJ11" i="12" a="1"/>
  <c r="AJ11" i="12" s="1"/>
  <c r="J19" i="40" s="1"/>
  <c r="AJ21" i="12" a="1"/>
  <c r="AJ21" i="12" s="1"/>
  <c r="J12" i="40" s="1"/>
  <c r="AJ5" i="12" a="1"/>
  <c r="AJ5" i="12" s="1"/>
  <c r="J26" i="40" s="1"/>
  <c r="AJ20" i="12" a="1"/>
  <c r="AJ20" i="12" s="1"/>
  <c r="J23" i="40" s="1"/>
  <c r="M16" i="40" l="1"/>
  <c r="M24" i="40"/>
  <c r="J10" i="49"/>
  <c r="F13" i="55"/>
  <c r="J13" i="55" s="1"/>
  <c r="F18" i="55"/>
  <c r="J18" i="55" s="1"/>
  <c r="J11" i="49"/>
  <c r="J22" i="49"/>
  <c r="F27" i="55"/>
  <c r="J27" i="55" s="1"/>
  <c r="F29" i="55"/>
  <c r="J29" i="55" s="1"/>
  <c r="J6" i="49"/>
  <c r="F19" i="55"/>
  <c r="J19" i="55" s="1"/>
  <c r="J17" i="49"/>
  <c r="M15" i="40"/>
  <c r="F21" i="55"/>
  <c r="J21" i="55" s="1"/>
  <c r="J12" i="49"/>
  <c r="F11" i="55"/>
  <c r="J11" i="55" s="1"/>
  <c r="J8" i="49"/>
  <c r="M13" i="40"/>
  <c r="F23" i="55"/>
  <c r="J23" i="55" s="1"/>
  <c r="J13" i="49"/>
  <c r="F28" i="55"/>
  <c r="J28" i="55" s="1"/>
  <c r="J5" i="49"/>
  <c r="F17" i="55"/>
  <c r="J17" i="55" s="1"/>
  <c r="J7" i="49"/>
  <c r="J20" i="49"/>
  <c r="F24" i="55"/>
  <c r="J24" i="55" s="1"/>
  <c r="M25" i="40"/>
  <c r="F26" i="55"/>
  <c r="J26" i="55" s="1"/>
  <c r="J16" i="49"/>
  <c r="J23" i="49"/>
  <c r="F20" i="55"/>
  <c r="J20" i="55" s="1"/>
  <c r="J14" i="49"/>
  <c r="F22" i="55"/>
  <c r="J22" i="55" s="1"/>
  <c r="M18" i="40"/>
  <c r="M9" i="40"/>
  <c r="M12" i="40"/>
  <c r="M19" i="40"/>
  <c r="M21" i="40"/>
  <c r="M8" i="40"/>
  <c r="M7" i="40"/>
  <c r="M23" i="40"/>
  <c r="M11" i="40"/>
  <c r="M22" i="40"/>
  <c r="M26" i="40"/>
  <c r="J21" i="49" l="1"/>
  <c r="F10" i="55"/>
  <c r="J10" i="55" s="1"/>
  <c r="J15" i="49"/>
  <c r="F12" i="55"/>
  <c r="J12" i="55" s="1"/>
  <c r="M20" i="40"/>
  <c r="J18" i="49"/>
  <c r="F14" i="55"/>
  <c r="J14" i="55" s="1"/>
  <c r="F25" i="55"/>
  <c r="J25" i="55" s="1"/>
  <c r="M17" i="40"/>
  <c r="J19" i="49"/>
  <c r="F15" i="55"/>
  <c r="J15" i="55" s="1"/>
  <c r="M10" i="40"/>
  <c r="F16" i="55"/>
  <c r="J16" i="55" s="1"/>
  <c r="J4" i="49"/>
  <c r="M14" i="40"/>
  <c r="F9" i="55"/>
  <c r="J9" i="55" s="1"/>
  <c r="J9" i="49"/>
  <c r="N19" i="40" l="1" a="1"/>
  <c r="N19" i="40" s="1"/>
  <c r="L7" i="49" s="1"/>
  <c r="N14" i="40" a="1"/>
  <c r="N14" i="40" s="1"/>
  <c r="L9" i="49" s="1"/>
  <c r="N9" i="40" a="1"/>
  <c r="N9" i="40" s="1"/>
  <c r="L11" i="49" s="1"/>
  <c r="N17" i="40" a="1"/>
  <c r="N17" i="40" s="1"/>
  <c r="L19" i="49" s="1"/>
  <c r="N7" i="40" a="1"/>
  <c r="N7" i="40" s="1"/>
  <c r="L17" i="49" s="1"/>
  <c r="N13" i="40" a="1"/>
  <c r="N13" i="40" s="1"/>
  <c r="L13" i="49" s="1"/>
  <c r="N25" i="40" a="1"/>
  <c r="N25" i="40" s="1"/>
  <c r="L20" i="49" s="1"/>
  <c r="N26" i="40" a="1"/>
  <c r="N26" i="40" s="1"/>
  <c r="L8" i="49" s="1"/>
  <c r="N23" i="40" a="1"/>
  <c r="N23" i="40" s="1"/>
  <c r="L16" i="49" s="1"/>
  <c r="N20" i="40" a="1"/>
  <c r="N20" i="40" s="1"/>
  <c r="L18" i="49" s="1"/>
  <c r="N10" i="40" a="1"/>
  <c r="N10" i="40" s="1"/>
  <c r="L4" i="49" s="1"/>
  <c r="N15" i="40" a="1"/>
  <c r="N15" i="40" s="1"/>
  <c r="L12" i="49" s="1"/>
  <c r="N21" i="40" a="1"/>
  <c r="N21" i="40" s="1"/>
  <c r="L23" i="49" s="1"/>
  <c r="N8" i="40" a="1"/>
  <c r="N8" i="40" s="1"/>
  <c r="L10" i="49" s="1"/>
  <c r="N12" i="40" a="1"/>
  <c r="N12" i="40" s="1"/>
  <c r="L22" i="49" s="1"/>
  <c r="N18" i="40" a="1"/>
  <c r="N18" i="40" s="1"/>
  <c r="L6" i="49" s="1"/>
  <c r="N16" i="40" a="1"/>
  <c r="N16" i="40" s="1"/>
  <c r="L21" i="49" s="1"/>
  <c r="N24" i="40" a="1"/>
  <c r="N24" i="40" s="1"/>
  <c r="L15" i="49" s="1"/>
  <c r="N22" i="40" a="1"/>
  <c r="N22" i="40" s="1"/>
  <c r="L5" i="49" s="1"/>
  <c r="N11" i="40" a="1"/>
  <c r="N11" i="40" s="1"/>
  <c r="L14" i="49" s="1"/>
  <c r="J30" i="55"/>
  <c r="K27" i="55" l="1"/>
  <c r="R27" i="55" s="1"/>
  <c r="K12" i="55"/>
  <c r="R12" i="55" s="1"/>
  <c r="K18" i="55"/>
  <c r="R18" i="55" s="1"/>
  <c r="K20" i="55"/>
  <c r="R20" i="55" s="1"/>
  <c r="K23" i="55"/>
  <c r="R23" i="55" s="1"/>
  <c r="K9" i="55"/>
  <c r="R9" i="55" s="1"/>
  <c r="K21" i="55"/>
  <c r="R21" i="55" s="1"/>
  <c r="K17" i="55"/>
  <c r="R17" i="55" s="1"/>
  <c r="K10" i="55"/>
  <c r="R10" i="55" s="1"/>
  <c r="K26" i="55"/>
  <c r="R26" i="55" s="1"/>
  <c r="K28" i="55"/>
  <c r="R28" i="55" s="1"/>
  <c r="K24" i="55"/>
  <c r="R24" i="55" s="1"/>
  <c r="K13" i="55"/>
  <c r="R13" i="55" s="1"/>
  <c r="K14" i="55"/>
  <c r="R14" i="55" s="1"/>
  <c r="K29" i="55"/>
  <c r="R29" i="55" s="1"/>
  <c r="K25" i="55"/>
  <c r="R25" i="55" s="1"/>
  <c r="K16" i="55"/>
  <c r="R16" i="55" s="1"/>
  <c r="K11" i="55"/>
  <c r="R11" i="55" s="1"/>
  <c r="K15" i="55"/>
  <c r="R15" i="55" s="1"/>
  <c r="K19" i="55"/>
  <c r="R19" i="55" s="1"/>
  <c r="K22" i="55"/>
  <c r="R22" i="55" s="1"/>
  <c r="S11" i="55" l="1"/>
  <c r="S24" i="55"/>
  <c r="S18" i="55"/>
  <c r="S22" i="55"/>
  <c r="S16" i="55"/>
  <c r="S17" i="55"/>
  <c r="S25" i="55"/>
  <c r="S20" i="55"/>
  <c r="S19" i="55"/>
  <c r="S15" i="55"/>
  <c r="S29" i="55"/>
  <c r="S28" i="55"/>
  <c r="S21" i="55"/>
  <c r="S14" i="55"/>
  <c r="S26" i="55"/>
  <c r="S9" i="55"/>
  <c r="S12" i="55"/>
  <c r="S13" i="55"/>
  <c r="S10" i="55"/>
  <c r="S23" i="55"/>
  <c r="S27" i="55"/>
  <c r="R3" i="55"/>
  <c r="S3" i="5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6D69B47C-6EDE-4D8F-82A8-480DC2DE39FB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Timestamp="1721620646"&gt;&lt;FQL&gt;&lt;Q&gt;FC0000ZA^FG_MCAP_IDX(0,,,USD)&lt;/Q&gt;&lt;R&gt;1&lt;/R&gt;&lt;C&gt;1&lt;/C&gt;&lt;D xsi:type="xsd:double"&gt;326505.72&lt;/D&gt;&lt;/FQL&gt;&lt;FQL&gt;&lt;Q&gt;FC0000CN^FMA_MCAP(0,,,USD,"PORTAGG")&lt;/Q&gt;&lt;R&gt;1&lt;/R&gt;&lt;C&gt;1&lt;/C&gt;&lt;D xsi:type="xsd:double"&gt;7053963.5&lt;/D&gt;&lt;/FQL&gt;&lt;FQL&gt;&lt;Q&gt;NQG00809^FMA_MCAP(0,,,USD,"PORTAGG")&lt;/Q&gt;&lt;R&gt;0&lt;/R&gt;&lt;C&gt;0&lt;/C&gt;&lt;/FQL&gt;&lt;FQL&gt;&lt;Q&gt;MCHI^FREF_MARKET_VALUE_COMPANY(0,,,USD,,0,,"LEGACY")&lt;/Q&gt;&lt;R&gt;1&lt;/R&gt;&lt;C&gt;1&lt;/C&gt;&lt;D xsi:type="xsd:double"&gt;5412.176&lt;/D&gt;&lt;/FQL&gt;&lt;FQL&gt;&lt;Q&gt;FC0000US^FMA_MCAP(0,,,USD,"PORTAGG")&lt;/Q&gt;&lt;R&gt;1&lt;/R&gt;&lt;C&gt;1&lt;/C&gt;&lt;D xsi:type="xsd:double"&gt;57187160&lt;/D&gt;&lt;/FQL&gt;&lt;FQL&gt;&lt;Q&gt;FC0000IN^FMA_MCAP(0,,,USD,"PORTAGG")&lt;/Q&gt;&lt;R&gt;1&lt;/R&gt;&lt;C&gt;1&lt;/C&gt;&lt;D xsi:type="xsd:double"&gt;5265089&lt;/D&gt;&lt;/FQL&gt;&lt;FQL&gt;&lt;Q&gt;SPY^FREF_MARKET_VALUE_COMPANY(0,,,USD,,0,,"LEGACY")&lt;/Q&gt;&lt;R&gt;1&lt;/R&gt;&lt;C&gt;1&lt;/C&gt;&lt;D xsi:type="xsd:double"&gt;557901.260579&lt;/D&gt;&lt;/FQL&gt;&lt;FQL&gt;&lt;Q&gt;INDA^FREF_MARKET_VALUE_COMPANY(0,,,USD,,0,,"LEGACY")&lt;/Q&gt;&lt;R&gt;1&lt;/R&gt;&lt;C&gt;1&lt;/C&gt;&lt;D xsi:type="xsd:double"&gt;11314.652&lt;/D&gt;&lt;/FQL&gt;&lt;FQL&gt;&lt;Q&gt;FC0000GR^FMA_MCAP(0,,,USD,"PORTAGG")&lt;/Q&gt;&lt;R&gt;1&lt;/R&gt;&lt;C&gt;1&lt;/C&gt;&lt;D xsi:type="xsd:double"&gt;85036.01&lt;/D&gt;&lt;/FQL&gt;&lt;FQL&gt;&lt;Q&gt;QQQ^FREF_MARKET_VALUE_COMPANY(0,,,USD,,0,,"LEGACY")&lt;/Q&gt;&lt;R&gt;1&lt;/R&gt;&lt;C&gt;1&lt;/C&gt;&lt;D xsi:type="xsd:double"&gt;290134.02&lt;/D&gt;&lt;/FQL&gt;&lt;FQL&gt;&lt;Q&gt;GREK^FREF_MARKET_VALUE_COMPANY(0,,,USD,,0,,"LEGACY")&lt;/Q&gt;&lt;R&gt;1&lt;/R&gt;&lt;C&gt;1&lt;/C&gt;&lt;D xsi:type="xsd:double"&gt;205.272727436&lt;/D&gt;&lt;/FQL&gt;&lt;FQL&gt;&lt;Q&gt;FC0000GB^FMA_MCAP(0,,,USD,"PORTAGG")&lt;/Q&gt;&lt;R&gt;1&lt;/R&gt;&lt;C&gt;1&lt;/C&gt;&lt;D xsi:type="xsd:double"&gt;3274508&lt;/D&gt;&lt;/FQL&gt;&lt;FQL&gt;&lt;Q&gt;FC0000ZA^FMA_MCAP(0,,,USD,"PORTAGG")&lt;/Q&gt;&lt;R&gt;1&lt;/R&gt;&lt;C&gt;1&lt;/C&gt;&lt;D xsi:type="xsd:double"&gt;326505.72&lt;/D&gt;&lt;/FQL&gt;&lt;FQL&gt;&lt;Q&gt;EWU^FREF_MARKET_VALUE_COMPANY(0,,,USD,,0,,"LEGACY")&lt;/Q&gt;&lt;R&gt;1&lt;/R&gt;&lt;C&gt;1&lt;/C&gt;&lt;D xsi:type="xsd:double"&gt;2879.861&lt;/D&gt;&lt;/FQL&gt;&lt;FQL&gt;&lt;Q&gt;EZA^FREF_MARKET_VALUE_COMPANY(0,,,USD,,0,,"LEGACY")&lt;/Q&gt;&lt;R&gt;1&lt;/R&gt;&lt;C&gt;1&lt;/C&gt;&lt;D xsi:type="xsd:double"&gt;272.601&lt;/D&gt;&lt;/FQL&gt;&lt;FQL&gt;&lt;Q&gt;FC0000CH^FMA_MCAP(0,,,USD,"PORTAGG")&lt;/Q&gt;&lt;R&gt;1&lt;/R&gt;&lt;C&gt;1&lt;/C&gt;&lt;D xsi:type="xsd:double"&gt;2218547.8&lt;/D&gt;&lt;/FQL&gt;&lt;FQL&gt;&lt;Q&gt;FC0000BR^FMA_MCAP(0,,,USD,"PORTAGG")&lt;/Q&gt;&lt;R&gt;1&lt;/R&gt;&lt;C&gt;1&lt;/C&gt;&lt;D xsi:type="xsd:double"&gt;681987.44&lt;/D&gt;&lt;/FQL&gt;&lt;FQL&gt;&lt;Q&gt;EWL^FREF_MARKET_VALUE_COMPANY(0,,,USD,,0,,"LEGACY")&lt;/Q&gt;&lt;R&gt;1&lt;/R&gt;&lt;C&gt;1&lt;/C&gt;&lt;D xsi:type="xsd:double"&gt;1222.155&lt;/D&gt;&lt;/FQL&gt;&lt;FQL&gt;&lt;Q&gt;EWZ^FREF_MARKET_VALUE_COMPANY(0,,,USD,,0,,"LEGACY")&lt;/Q&gt;&lt;R&gt;1&lt;/R&gt;&lt;C&gt;1&lt;/C&gt;&lt;D xsi:type="xsd:double"&gt;4363.8&lt;/D&gt;&lt;/FQL&gt;&lt;FQL&gt;&lt;Q&gt;FC0000JP^FMA_MCAP(0,,,USD,"PORTAGG")&lt;/Q&gt;&lt;R&gt;1&lt;/R&gt;&lt;C&gt;1&lt;/C&gt;&lt;D xsi:type="xsd:double"&gt;6594245.5&lt;/D&gt;&lt;/FQL&gt;&lt;FQL&gt;&lt;Q&gt;FC0000KR^FMA_MCAP(0,,,USD,"PORTAGG")&lt;/Q&gt;&lt;R&gt;1&lt;/R&gt;&lt;C&gt;1&lt;/C&gt;&lt;D xsi:type="xsd:double"&gt;1906839.3&lt;/D&gt;&lt;/FQL&gt;&lt;FQL&gt;&lt;Q&gt;EWJ^FREF_MARKET_VALUE_COMPANY(0,,,USD,,0,,"LEGACY")&lt;/Q&gt;&lt;R&gt;1&lt;/R&gt;&lt;C&gt;1&lt;/C&gt;&lt;D xsi:type="xsd:double"&gt;16076.808&lt;/D&gt;&lt;/FQL&gt;&lt;FQL&gt;&lt;Q&gt;EWY^FREF_MARKET_VALUE_COMPANY(0,,,USD,,0,,"LEGACY")&lt;/Q&gt;&lt;R&gt;1&lt;/R&gt;&lt;C&gt;1&lt;/C&gt;&lt;D xsi:type="xsd:double"&gt;5456.4895&lt;/D&gt;&lt;/FQL&gt;&lt;FQL&gt;&lt;Q&gt;FC0000DE^FMA_MCAP(0,,,USD,"PORTAGG")&lt;/Q&gt;&lt;R&gt;1&lt;/R&gt;&lt;C&gt;1&lt;/C&gt;&lt;D xsi:type="xsd:double"&gt;2251549.5&lt;/D&gt;&lt;/FQL&gt;&lt;FQL&gt;&lt;Q&gt;FC0000MX^FMA_MCAP(0,,,USD,"PORTAGG")&lt;/Q&gt;&lt;R&gt;1&lt;/R&gt;&lt;C&gt;1&lt;/C&gt;&lt;D xsi:type="xsd:double"&gt;472243.47&lt;/D&gt;&lt;/FQL&gt;&lt;FQL&gt;&lt;Q&gt;EWG^FREF_MARKET_VALUE_COMPANY(0,,,USD,,0,,"LEGACY")&lt;/Q&gt;&lt;R&gt;1&lt;/R&gt;&lt;C&gt;1&lt;/C&gt;&lt;D xsi:type="xsd:double"&gt;916.839&lt;/D&gt;&lt;/FQL&gt;&lt;FQL&gt;&lt;Q&gt;EWW^FREF_MARKET_VALUE_COMPANY(0,,,USD,,0,,"LEGACY")&lt;/Q&gt;&lt;R&gt;1&lt;/R&gt;&lt;C&gt;1&lt;/C&gt;&lt;D xsi:type="xsd:double"&gt;1669.815&lt;/D&gt;&lt;/FQL&gt;&lt;FQL&gt;&lt;Q&gt;FC0000CA^FMA_MCAP(0,,,USD,"PORTAGG")&lt;/Q&gt;&lt;R&gt;1&lt;/R&gt;&lt;C&gt;1&lt;/C&gt;&lt;D xsi:type="xsd:double"&gt;2786880&lt;/D&gt;&lt;/FQL&gt;&lt;FQL&gt;&lt;Q&gt;FC0000TW^FMA_MCAP(0,,,USD,"PORTAGG")&lt;/Q&gt;&lt;R&gt;1&lt;/R&gt;&lt;C&gt;1&lt;/C&gt;&lt;D xsi:type="xsd:double"&gt;2429504.3&lt;/D&gt;&lt;/FQL&gt;&lt;FQL&gt;&lt;Q&gt;EWC^FREF_MARKET_VALUE_COMPANY(0,,,USD,,0,,"LEGACY")&lt;/Q&gt;&lt;R&gt;1&lt;/R&gt;&lt;C&gt;1&lt;/C&gt;&lt;D xsi:type="xsd:double"&gt;2487.024&lt;/D&gt;&lt;/FQL&gt;&lt;FQL&gt;&lt;Q&gt;EWT^FREF_MARKET_VALUE_COMPANY(0,,,USD,,0,,"LEGACY")&lt;/Q&gt;&lt;R&gt;1&lt;/R&gt;&lt;C&gt;1&lt;/C&gt;&lt;D xsi:type="xsd:double"&gt;5170.522&lt;/D&gt;&lt;/FQL&gt;&lt;FQL&gt;&lt;Q&gt;FC0000AU^FMA_MCAP(0,,,USD,"PORTAGG")&lt;/Q&gt;&lt;R&gt;1&lt;/R&gt;&lt;C&gt;1&lt;/C&gt;&lt;D xsi:type="xsd:double"&gt;1744013.8&lt;/D&gt;&lt;/FQL&gt;&lt;FQL&gt;&lt;Q&gt;FC0000MY^FMA_MCAP(0,,,USD,"PORTAGG")&lt;/Q&gt;&lt;R&gt;1&lt;/R&gt;&lt;C&gt;1&lt;/C&gt;&lt;D xsi:type="xsd:double"&gt;412174.94&lt;/D&gt;&lt;/FQL&gt;&lt;FQL&gt;&lt;Q&gt;EWA^FREF_MARKET_VALUE_COMPANY(0,,,USD,,0,,"LEGACY")&lt;/Q&gt;&lt;R&gt;1&lt;/R&gt;&lt;C&gt;1&lt;/C&gt;&lt;D xsi:type="xsd:double"&gt;1506.98&lt;/D&gt;&lt;/FQL&gt;&lt;FQL&gt;&lt;Q&gt;EWM^FREF_MARKET_VALUE_COMPANY(0,,,USD,,0,,"LEGACY")&lt;/Q&gt;&lt;R&gt;1&lt;/R&gt;&lt;C&gt;1&lt;/C&gt;&lt;D xsi:type="xsd:double"&gt;289.836&lt;/D&gt;&lt;/FQL&gt;&lt;FQL&gt;&lt;Q&gt;FC0000NZ^FMA_MCAP(0,,,USD,"PORTAGG")&lt;/Q&gt;&lt;R&gt;1&lt;/R&gt;&lt;C&gt;1&lt;/C&gt;&lt;D xsi:type="xsd:double"&gt;95379.42&lt;/D&gt;&lt;/FQL&gt;&lt;FQL&gt;&lt;Q&gt;FC0000PE^FMA_MCAP(0,,,USD,"PORTAGG")&lt;/Q&gt;&lt;R&gt;1&lt;/R&gt;&lt;C&gt;1&lt;/C&gt;&lt;D xsi:type="xsd:double"&gt;37386.44&lt;/D&gt;&lt;/FQL&gt;&lt;FQL&gt;&lt;Q&gt;ENZL^FREF_MARKET_VALUE_COMPANY(0,,,USD,,0,,"LEGACY")&lt;/Q&gt;&lt;R&gt;1&lt;/R&gt;&lt;C&gt;1&lt;/C&gt;&lt;D xsi:type="xsd:double"&gt;85.433&lt;/D&gt;&lt;/FQL&gt;&lt;FQL&gt;&lt;Q&gt;EPU^FREF_MARKET_VALUE_COMPANY(0,,,USD,,0,,"LEGACY")&lt;/Q&gt;&lt;R&gt;1&lt;/R&gt;&lt;C&gt;1&lt;/C&gt;&lt;D xsi:type="xsd:double"&gt;123.06&lt;/D&gt;&lt;/FQL&gt;&lt;FQL&gt;&lt;Q&gt;FC0000SA^FMA_MCAP(0,,,USD,"PORTAGG")&lt;/Q&gt;&lt;R&gt;1&lt;/R&gt;&lt;C&gt;1&lt;/C&gt;&lt;D xsi:type="xsd:double"&gt;2787797.8&lt;/D&gt;&lt;/FQL&gt;&lt;FQL&gt;&lt;Q&gt;FC0000PL^FMA_MCAP(0,,,USD,"PORTAGG")&lt;/Q&gt;&lt;R&gt;1&lt;/R&gt;&lt;C&gt;1&lt;/C&gt;&lt;D xsi:type="xsd:double"&gt;208133.77&lt;/D&gt;&lt;/FQL&gt;&lt;FQL&gt;&lt;Q&gt;KSA^FREF_MARKET_VALUE_COMPANY(0,,,USD,,0,,"LEGACY")&lt;/Q&gt;&lt;R&gt;1&lt;/R&gt;&lt;C&gt;1&lt;/C&gt;&lt;D xsi:type="xsd:double"&gt;609.58&lt;/D&gt;&lt;/FQL&gt;&lt;FQL&gt;&lt;Q&gt;EPOL^FREF_MARKET_VALUE_COMPANY(0,,,USD,,0,,"LEGACY")&lt;/Q&gt;&lt;R&gt;1&lt;/R&gt;&lt;C&gt;1&lt;/C&gt;&lt;D xsi:type="xsd:double"&gt;342.6795&lt;/D&gt;&lt;/FQL&gt;&lt;FQL&gt;&lt;Q&gt;FTSEWIVNXXXX^FMA_MCAP(0,,,USD,"PORTAGG")&lt;/Q&gt;&lt;R&gt;1&lt;/R&gt;&lt;C&gt;1&lt;/C&gt;&lt;D xsi:type="xsd:double"&gt;23454.447983&lt;/D&gt;&lt;/FQL&gt;&lt;FQL&gt;&lt;Q&gt;FC0000PH^FMA_MCAP(0,,,USD,"PORTAGG")&lt;/Q&gt;&lt;R&gt;1&lt;/R&gt;&lt;C&gt;1&lt;/C&gt;&lt;D xsi:type="xsd:double"&gt;212672.06&lt;/D&gt;&lt;/FQL&gt;&lt;FQL&gt;&lt;Q&gt;VNM^FREF_MARKET_VALUE_COMPANY(0,,,USD,,0,,"LEGACY")&lt;/Q&gt;&lt;R&gt;1&lt;/R&gt;&lt;C&gt;1&lt;/C&gt;&lt;D xsi:type="xsd:double"&gt;485.615&lt;/D&gt;&lt;/FQL&gt;&lt;FQL&gt;&lt;Q&gt;EPHE^FREF_MARKET_VALUE_COMPANY(0,,,USD,,0,,"LEGACY")&lt;/Q&gt;&lt;R&gt;1&lt;/R&gt;&lt;C&gt;1&lt;/C&gt;&lt;D xsi:type="xsd:double"&gt;97.166&lt;/D&gt;&lt;/FQL&gt;&lt;FQL&gt;&lt;Q&gt;FC0000AE^FMA_MCAP(0,,,USD,"PORTAGG")&lt;/Q&gt;&lt;R&gt;1&lt;/R&gt;&lt;C&gt;1&lt;/C&gt;&lt;D xsi:type="xsd:double"&gt;876198.5&lt;/D&gt;&lt;/FQL&gt;&lt;FQL&gt;&lt;Q&gt;FC0000TR^FMA_MCAP(0,,,USD,"PORTAGG")&lt;/Q&gt;&lt;R&gt;1&lt;/R&gt;&lt;C&gt;1&lt;/C&gt;&lt;D xsi:type="xsd:double"&gt;419263.34&lt;/D&gt;&lt;/FQL&gt;&lt;FQL&gt;&lt;Q&gt;FC0000QA^FMA_MCAP(0,,,USD,"PORTAGG")&lt;/Q&gt;&lt;R&gt;1&lt;/R&gt;&lt;C&gt;1&lt;/C&gt;&lt;D xsi:type="xsd:double"&gt;158718.55&lt;/D&gt;&lt;/FQL&gt;&lt;FQL&gt;&lt;Q&gt;FC0000ID^FMA_MCAP(0,,,USD,"PORTAGG")&lt;/Q&gt;&lt;R&gt;1&lt;/R&gt;&lt;C&gt;1&lt;/C&gt;&lt;D xsi:type="xsd:double"&gt;675296.44&lt;/D&gt;&lt;/FQL&gt;&lt;FQL&gt;&lt;Q&gt;FC0000CL^FMA_MCAP(0,,,USD,"PORTAGG")&lt;/Q&gt;&lt;R&gt;1&lt;/R&gt;&lt;C&gt;1&lt;/C&gt;&lt;D xsi:type="xsd:double"&gt;142746.33&lt;/D&gt;&lt;/FQL&gt;&lt;FQL&gt;&lt;Q&gt;CC_ZA^FG_COMPANY_NAME&lt;/Q&gt;&lt;R&gt;1&lt;/R&gt;&lt;C&gt;1&lt;/C&gt;&lt;D xsi:type="xsd:string"&gt;South Africa&lt;/D&gt;&lt;/FQL&gt;&lt;FQL&gt;&lt;Q&gt;TUR^FREF_MARKET_VALUE_COMPANY(0,,,USD,,0,,"LEGACY")&lt;/Q&gt;&lt;R&gt;1&lt;/R&gt;&lt;C&gt;1&lt;/C&gt;&lt;D xsi:type="xsd:double"&gt;251.4475&lt;/D&gt;&lt;/FQL&gt;&lt;FQL&gt;&lt;Q&gt;SET-BKK^FG_MCAP_IDX(0,,,USD)&lt;/Q&gt;&lt;R&gt;1&lt;/R&gt;&lt;C&gt;1&lt;/C&gt;&lt;D xsi:type="xsd:double"&gt;448963.458128379&lt;/D&gt;&lt;/FQL&gt;&lt;FQL&gt;&lt;Q&gt;QAT^FREF_MARKET_VALUE_COMPANY(0,,,USD,,0,,"LEGACY")&lt;/Q&gt;&lt;R&gt;1&lt;/R&gt;&lt;C&gt;1&lt;/C&gt;&lt;D xsi:type="xsd:double"&gt;63.5625&lt;/D&gt;&lt;/FQL&gt;&lt;FQL&gt;&lt;Q&gt;CNYA^FREF_MARKET_VALUE_COMPANY(0,,,USD,,0,,"LEGACY")&lt;/Q&gt;&lt;R&gt;1&lt;/R&gt;&lt;C&gt;1&lt;/C&gt;&lt;D xsi:type="xsd:double"&gt;271.74&lt;/D&gt;&lt;/FQL&gt;&lt;FQL&gt;&lt;Q&gt;SET-BKK^FMA_MCAP(0,,,USD,"PORTAGG")&lt;/Q&gt;&lt;R&gt;1&lt;/R&gt;&lt;C&gt;1&lt;/C&gt;&lt;D xsi:type="xsd:double"&gt;448963.458128379&lt;/D&gt;&lt;/FQL&gt;&lt;FQL&gt;&lt;Q&gt;UAE^FREF_MARKET_VALUE_COMPANY(0,,,USD,,0,,"LEGACY")&lt;/Q&gt;&lt;R&gt;1&lt;/R&gt;&lt;C&gt;1&lt;/C&gt;&lt;D xsi:type="xsd:double"&gt;34.248&lt;/D&gt;&lt;/FQL&gt;&lt;FQL&gt;&lt;Q&gt;EIDO^FREF_MARKET_VALUE_COMPANY(0,,,USD,,0,,"LEGACY")&lt;/Q&gt;&lt;R&gt;1&lt;/R&gt;&lt;C&gt;1&lt;/C&gt;&lt;D xsi:type="xsd:double"&gt;327.078&lt;/D&gt;&lt;/FQL&gt;&lt;FQL&gt;&lt;Q&gt;ECH^FREF_MARKET_VALUE_COMPANY(0,,,USD,,0,,"LEGACY")&lt;/Q&gt;&lt;R&gt;1&lt;/R&gt;&lt;C&gt;1&lt;/C&gt;&lt;D xsi:type="xsd:double"&gt;536.608&lt;/D&gt;&lt;/FQL&gt;&lt;FQL&gt;&lt;Q&gt;NQG00809^FG_COMPANY_NAME&lt;/Q&gt;&lt;R&gt;1&lt;/R&gt;&lt;C&gt;1&lt;/C&gt;&lt;D xsi:type="xsd:string"&gt;Nasdaq South Africa&lt;/D&gt;&lt;/FQL&gt;&lt;FQL&gt;&lt;Q&gt;DUMMY^ECON_EXPR_DATA('FDS_ECON[NTCPMIINDEXSA@SA]',,,M)&lt;/Q&gt;&lt;R&gt;1&lt;/R&gt;&lt;C&gt;1&lt;/C&gt;&lt;D xsi:type="xsd:double"&gt;55.00529&lt;/D&gt;&lt;/FQL&gt;&lt;FQL&gt;&lt;Q&gt;DUMMY^ECON_EXPR_DATA('FDS_ECON[NTCPMIPHMANHE]',,,M)&lt;/Q&gt;&lt;R&gt;1&lt;/R&gt;&lt;C&gt;1&lt;/C&gt;&lt;D xsi:type="xsd:double"&gt;51.30511&lt;/D&gt;&lt;/FQL&gt;&lt;FQL&gt;&lt;Q&gt;DUMMY^ECON_EXPR_DATA('FDS_ECON[NTCPMIMFGSA@ID]',,,M)&lt;/Q&gt;&lt;R&gt;1&lt;/R&gt;&lt;C&gt;1&lt;/C&gt;&lt;D xsi:type="xsd:double"&gt;50.6578&lt;/D&gt;&lt;/FQL&gt;&lt;FQL&gt;&lt;Q&gt;DUMMY^ECON_EXPR_DATA('FDS_ECON[NTCPMIMFGSA@CL]',,,M)&lt;/Q&gt;&lt;R&gt;0&lt;/R&gt;&lt;C&gt;0&lt;/C&gt;&lt;/FQL&gt;&lt;FQL&gt;&lt;Q&gt;DUMMY^ECON_EXPR_DATA('FDS_ECON[NTCPMITHMANHE]',,,M)&lt;/Q&gt;&lt;R&gt;1&lt;/R&gt;&lt;C&gt;1&lt;/C&gt;&lt;D xsi:type="xsd:double"&gt;51.7474&lt;/D&gt;&lt;/FQL&gt;&lt;FQL&gt;&lt;Q&gt;DUMMY^ECON_EXPR_DATA('FDS_ECON[PMIQAWHEHE]',,,M)&lt;/Q&gt;&lt;R&gt;1&lt;/R&gt;&lt;C&gt;1&lt;/C&gt;&lt;D xsi:type="xsd:double"&gt;55.90736&lt;/D&gt;&lt;/FQL&gt;&lt;FQL&gt;&lt;Q&gt;DUMMY^ECON_EXPR_DATA('FDS_ECON[NTCPMIMFGSA@GR]',,,M)&lt;/Q&gt;&lt;R&gt;1&lt;/R&gt;&lt;C&gt;1&lt;/C&gt;&lt;D xsi:type="xsd:double"&gt;54.023083&lt;/D&gt;&lt;/FQL&gt;&lt;FQL&gt;&lt;Q&gt;DUMMY^ECON_EXPR_DATA('FDS_ECON[NTCPMIMFGSA@BR]',,,M)&lt;/Q&gt;&lt;R&gt;1&lt;/R&gt;&lt;C&gt;1&lt;/C&gt;&lt;D xsi:type="xsd:double"&gt;52.50815&lt;/D&gt;&lt;/FQL&gt;&lt;FQL&gt;&lt;Q&gt;DUMMY^ECON_EXPR_DATA('FDS_ECON[NTCPMIMFGSA@PE]',,,M)&lt;/Q&gt;&lt;R&gt;0&lt;/R&gt;&lt;C&gt;0&lt;/C&gt;&lt;/FQL&gt;&lt;FQL&gt;&lt;Q&gt;DUMMY^ECON_EXPR_DATA('FDS_ECON[NTCPMIMFGSA@PL]',,,M)&lt;/Q&gt;&lt;R&gt;1&lt;/R&gt;&lt;C&gt;1&lt;/C&gt;&lt;D xsi:type="xsd:double"&gt;45.049862&lt;/D&gt;&lt;/FQL&gt;&lt;FQL&gt;&lt;Q&gt;DUMMY^ECON_EXPR_DATA('FDS_ECON[NTCPMIMFGSA@CN]',,,M)&lt;/Q&gt;&lt;R&gt;1&lt;/R&gt;&lt;C&gt;1&lt;/C&gt;&lt;D xsi:type="xsd:double"&gt;51.78663&lt;/D&gt;&lt;/FQL&gt;&lt;FQL&gt;&lt;Q&gt;DUMMY^ECON_EXPR_DATA('FDS_ECON[NTCPMIMFGSA@IN]',,,M)&lt;/Q&gt;&lt;R&gt;1&lt;/R&gt;&lt;C&gt;1&lt;/C&gt;&lt;D xsi:type="xsd:double"&gt;58.348763&lt;/D&gt;&lt;/FQL&gt;&lt;FQL&gt;&lt;Q&gt;DUMMY^ECON_EXPR_DATA('FDS_ECON[PMIMFGSA@ZA]',,,M)&lt;/Q&gt;&lt;R&gt;1&lt;/R&gt;&lt;C&gt;1&lt;/C&gt;&lt;D xsi:type="xsd:double"&gt;49.24229&lt;/D&gt;&lt;/FQL&gt;&lt;FQL&gt;&lt;Q&gt;DUMMY^ECON_EXPR_DATA('FDS_ECON[NTCPMIMFGSA@MX]',,,M)&lt;/Q&gt;&lt;R&gt;1&lt;/R&gt;&lt;C&gt;1&lt;/C&gt;&lt;D xsi:type="xsd:double"&gt;51.121384&lt;/D&gt;&lt;/FQL&gt;&lt;FQL&gt;&lt;Q&gt;DUMMY^ECON_EXPR_DATA('FDS_ECON[NTCPMIMFGSA@TW]',,,M)&lt;/Q&gt;&lt;R&gt;1&lt;/R&gt;&lt;C&gt;1&lt;/C&gt;&lt;D xsi:type="xsd:double"&gt;53.2&lt;/D&gt;&lt;/FQL&gt;&lt;FQL&gt;&lt;Q&gt;DUMMY^ECON_EXPR_DATA('FDS_ECON[NTCPMIMFGSA@TR]',,,M)&lt;/Q&gt;&lt;R&gt;1&lt;/R&gt;&lt;C&gt;1&lt;/C&gt;&lt;D xsi:type="xsd:double"&gt;47.89285&lt;/D&gt;&lt;/FQL&gt;&lt;FQL&gt;&lt;Q&gt;DUMMY^ECON_EXPR_DATA('FDS_ECON[PMIMYMANHE]',,,M)&lt;/Q&gt;&lt;R&gt;1&lt;/R&gt;&lt;C&gt;1&lt;/C&gt;&lt;D xsi:type="xsd:double"&gt;49.89638&lt;/D&gt;&lt;/FQL&gt;&lt;FQL&gt;&lt;Q&gt;DUMMY^ECON_EXPR_DATA('FDS_ECON[NTCPMIMFGSA@VN]',,,M)&lt;/Q&gt;&lt;R&gt;1&lt;/R&gt;&lt;C&gt;1&lt;/C&gt;&lt;D xsi:type="xsd:double"&gt;54.71824&lt;/D&gt;&lt;/FQL&gt;&lt;FQL&gt;&lt;Q&gt;DUMMY^ECON_EXPR_DATA('FDS_ECON[NTCPMIMFGSA@KR]',,,M)&lt;/Q&gt;&lt;R&gt;1&lt;/R&gt;&lt;C&gt;1&lt;/C&gt;&lt;D xsi:type="xsd:double"&gt;52.0388&lt;/D&gt;&lt;/FQL&gt;&lt;FQL&gt;&lt;Q&gt;DUMMY^ECON_EXPR_DATA('FDS_ECON[NTCPMIMFGSA@AE]',,,M)&lt;/Q&gt;&lt;R&gt;0&lt;/R&gt;&lt;C&gt;0&lt;/C&gt;&lt;/FQL&gt;&lt;FQL&gt;&lt;Q&gt;CAGDPY@QA^EE_ACTUAL_ANNUAL(MED,0)&lt;/Q&gt;&lt;R&gt;1&lt;/R&gt;&lt;C&gt;1&lt;/C&gt;&lt;D xsi:type="xsd:double"&gt;16.2&lt;/D&gt;&lt;/FQL&gt;&lt;FQL&gt;&lt;Q&gt;CAGDPY@TW^EE_ACTUAL_ANNUAL(MED,0)&lt;/Q&gt;&lt;R&gt;1&lt;/R&gt;&lt;C&gt;1&lt;/C&gt;&lt;D xsi:type="xsd:double"&gt;13.5674535548706&lt;/D&gt;&lt;/FQL&gt;&lt;FQL&gt;&lt;Q&gt;CC_VN^FG_COMPANY_NAME&lt;/Q&gt;&lt;R&gt;1&lt;/R&gt;&lt;C&gt;1&lt;/C&gt;&lt;D xsi:type="xsd:string"&gt;Vietnam&lt;/D&gt;&lt;/FQL&gt;&lt;FQL&gt;&lt;Q&gt;CC_PH^FG_COMPANY_NAME&lt;/Q&gt;&lt;R&gt;1&lt;/R&gt;&lt;C&gt;1&lt;/C&gt;&lt;D xsi:type="xsd:string"&gt;Philippines&lt;/D&gt;&lt;/FQL&gt;&lt;FQL&gt;&lt;Q&gt;USDVND^FG_PRICE_CHANGE(0,-1AM)&lt;/Q&gt;&lt;R&gt;1&lt;/R&gt;&lt;C&gt;1&lt;/C&gt;&lt;D xsi:type="xsd:double"&gt;-0.5009353&lt;/D&gt;&lt;/FQL&gt;&lt;FQL&gt;&lt;Q&gt;USDTRY^FG_PRICE_CHANGE(0,-1AM)&lt;/Q&gt;&lt;R&gt;1&lt;/R&gt;&lt;C&gt;1&lt;/C&gt;&lt;D xsi:type="xsd:double"&gt;1.661408&lt;/D&gt;&lt;/FQL&gt;&lt;FQL&gt;&lt;Q&gt;USDQAR^FG_PRICE_CHANGE(0,-1AM)&lt;/Q&gt;&lt;R&gt;1&lt;/R&gt;&lt;C&gt;1&lt;/C&gt;&lt;D xsi:type="xsd:double"&gt;0&lt;/D&gt;&lt;/FQL&gt;&lt;FQL&gt;&lt;Q&gt;USDINR^FG_PRICE_CHANGE(0,-1AM)&lt;/Q&gt;&lt;R&gt;1&lt;/R&gt;&lt;C&gt;1&lt;/C&gt;&lt;D xsi:type="xsd:double"&gt;0.24563074&lt;/D&gt;&lt;/FQL&gt;&lt;FQL&gt;&lt;Q&gt;USDZAR^FG_PRICE_CHANGE(0,-1AM)&lt;/Q&gt;&lt;R&gt;1&lt;/R&gt;&lt;C&gt;1&lt;/C&gt;&lt;D xsi:type="xsd:double"&gt;1.6929984&lt;/D&gt;&lt;/FQL&gt;&lt;FQL&gt;&lt;Q&gt;USDKRW^FG_PRICE_CHANGE(0,-1AM)&lt;/Q&gt;&lt;R&gt;1&lt;/R&gt;&lt;C&gt;1&lt;/C&gt;&lt;D xsi:type="xsd:double"&gt;0.35822392&lt;/D&gt;&lt;/FQL&gt;&lt;FQL&gt;&lt;Q&gt;USDTWD^FG_PRICE_CHANGE(0,-1AM)&lt;/Q&gt;&lt;R&gt;1&lt;/R&gt;&lt;C&gt;1&lt;/C&gt;&lt;D xsi:type="xsd:double"&gt;1.1437893&lt;/D&gt;&lt;/FQL&gt;&lt;FQL&gt;&lt;Q&gt;USDPEN^FG_PRICE_CHANGE(0,-1AM)&lt;/Q&gt;&lt;R&gt;1&lt;/R&gt;&lt;C&gt;1&lt;/C&gt;&lt;D xsi:type="xsd:double"&gt;-1.960218&lt;/D&gt;&lt;/FQL&gt;&lt;FQL&gt;&lt;Q&gt;USDPHP^FG_PRICE_CHANGE(0,-1AM)&lt;/Q&gt;&lt;R&gt;1&lt;/R&gt;&lt;C&gt;1&lt;/C&gt;&lt;D xsi:type="xsd:double"&gt;-0.6749928&lt;/D&gt;&lt;/FQL&gt;&lt;FQL&gt;&lt;Q&gt;USDCLP^FG_PRICE_CHANGE(0,-1AM)&lt;/Q&gt;&lt;R&gt;1&lt;/R&gt;&lt;C&gt;1&lt;/C&gt;&lt;D xsi:type="xsd:double"&gt;1.4549494&lt;/D&gt;&lt;/FQL&gt;&lt;FQL&gt;&lt;Q&gt;FC0000TH^FMA_EPS(NTMA,-20AY,0,CY,,"PORTAGG","MEANR")&lt;/Q&gt;&lt;R&gt;20&lt;/R&gt;&lt;C&gt;1&lt;/C&gt;&lt;D xsi:type="xsd:double"&gt;31.2696221195453&lt;/D&gt;&lt;D xsi:type="xsd:double"&gt;27.830708973543&lt;/D&gt;&lt;D xsi:type="xsd:double"&gt;28.9087147679287&lt;/D&gt;&lt;D xsi:type="xsd:double"&gt;30.2976622903306&lt;/D&gt;&lt;D xsi:type="xsd:double"&gt;23.8840282811916&lt;/D&gt;&lt;D xsi:type="xsd:double"&gt;35.3892777377471&lt;/D&gt;&lt;D xsi:type="xsd:double"&gt;41.7866258502755&lt;/D&gt;&lt;D xsi:type="xsd:double"&gt;42.2131083571648&lt;/D&gt;&lt;D xsi:type="xsd:double"&gt;48.114746973891&lt;/D&gt;&lt;D xsi:type="xsd:double"&gt;45.5007724746185&lt;/D&gt;&lt;D xsi:type="xsd:double"&gt;42.846065697041&lt;/D&gt;&lt;D xsi:type="xsd:double"&gt;39.0473397635884&lt;/D&gt;&lt;D xsi:type="xsd:double"&gt;39.7546846722989&lt;/D&gt;&lt;D xsi:type="xsd:double"&gt;47.2983820623366&lt;/D&gt;&lt;D xsi:type="xsd:double"&gt;49.7080844180477&lt;/D&gt;&lt;D xsi:type="xsd:double"&gt;48.1240323726985&lt;/D&gt;&lt;D xsi:type="xsd:double"&gt;34.7106307301713&lt;/D&gt;&lt;D xsi:type="xsd:double"&gt;40.2723415007705&lt;/D&gt;&lt;D xsi:type="xsd:double"&gt;42.4815782334381&lt;/D&gt;&lt;D xsi:type="xsd:double"&gt;40.1816074670961&lt;/D&gt;&lt;/FQL&gt;&lt;FQL&gt;&lt;Q&gt;FC0000CN^FMA_EPS(NTMA,-20AY,0,CY,,"PORTAGG","MEANR")&lt;/Q&gt;&lt;R&gt;20&lt;/R&gt;&lt;C&gt;1&lt;/C&gt;&lt;D xsi:type="xsd:string"&gt;@NA&lt;/D&gt;&lt;D xsi:type="xsd:double"&gt;5.08495696671206&lt;/D&gt;&lt;D xsi:type="xsd:double"&gt;6.03381551719642&lt;/D&gt;&lt;D xsi:type="xsd:double"&gt;10.2264803534379&lt;/D&gt;&lt;D xsi:type="xsd:double"&gt;9.2256018344915&lt;/D&gt;&lt;D xsi:type="xsd:double"&gt;11.1721706350105&lt;/D&gt;&lt;D xsi:type="xsd:double"&gt;14.2299143361003&lt;/D&gt;&lt;D xsi:type="xsd:double"&gt;15.4690015453803&lt;/D&gt;&lt;D xsi:type="xsd:double"&gt;14.1959016123051&lt;/D&gt;&lt;D xsi:type="xsd:double"&gt;16.0802582554231&lt;/D&gt;&lt;D xsi:type="xsd:double"&gt;16.6306210914505&lt;/D&gt;&lt;D xsi:type="xsd:double"&gt;16.640425298627&lt;/D&gt;&lt;D xsi:type="xsd:double"&gt;16.5240809032362&lt;/D&gt;&lt;D xsi:type="xsd:double"&gt;19.0217107904337&lt;/D&gt;&lt;D xsi:type="xsd:double"&gt;18.005603285854&lt;/D&gt;&lt;D xsi:type="xsd:double"&gt;17.6337784218118&lt;/D&gt;&lt;D xsi:type="xsd:double"&gt;17.4893601530666&lt;/D&gt;&lt;D xsi:type="xsd:double"&gt;21.2690649046914&lt;/D&gt;&lt;D xsi:type="xsd:double"&gt;20.3654577404382&lt;/D&gt;&lt;D xsi:type="xsd:double"&gt;19.1055267291665&lt;/D&gt;&lt;/FQL&gt;&lt;FQL&gt;&lt;Q&gt;EWM^P_PRICE_RETURNS_PR('52W',2,-10AY,0,AM)&lt;/Q&gt;&lt;R&gt;121&lt;/R&gt;&lt;C&gt;1&lt;/C&gt;&lt;D xsi:type="xsd:double"&gt;5.4963827&lt;/D&gt;&lt;D xsi:type="xsd:double"&gt;13.607586&lt;/D&gt;&lt;D xsi:type="xsd:double"&gt;0.52717924&lt;/D&gt;&lt;D xsi:type="xsd:double"&gt;-4.4519067&lt;/D&gt;&lt;D xsi:type="xsd:double"&gt;-3.5265982&lt;/D&gt;&lt;D xsi:type="xsd:double"&gt;-11.057991&lt;/D&gt;&lt;D xsi:type="xsd:double"&gt;-8.580345&lt;/D&gt;&lt;D xsi:type="xsd:double"&gt;-8.454693&lt;/D&gt;&lt;D xsi:type="xsd:double"&gt;-10.112124&lt;/D&gt;&lt;D xsi:type="xsd:double"&gt;-10.06056&lt;/D&gt;&lt;D xsi:type="xsd:double"&gt;-13.849169&lt;/D&gt;&lt;D xsi:type="xsd:double"&gt;-20.44453&lt;/D&gt;&lt;D xsi:type="xsd:double"&gt;-21.117079&lt;/D&gt;&lt;D xsi:type="xsd:double"&gt;-35.623383&lt;/D&gt;&lt;D xsi:type="xsd:double"&gt;-30.033695&lt;/D&gt;&lt;D xsi:type="xsd:double"&gt;-25.263834&lt;/D&gt;&lt;D xsi:type="xsd:double"&gt;-27.306276&lt;/D&gt;&lt;D xsi:type="xsd:double"&gt;-21.476316&lt;/D&gt;&lt;D xsi:type="xsd:double"&gt;-24.627865&lt;/D&gt;&lt;D xsi:type="xsd:double"&gt;-18.465126&lt;/D&gt;&lt;D xsi:type="xsd:double"&gt;-11.727959&lt;/D&gt;&lt;D xsi:type="xsd:double"&gt;-9.370268&lt;/D&gt;&lt;D xsi:type="xsd:double"&gt;-18.143415&lt;/D&gt;&lt;D xsi:type="xsd:double"&gt;-12.016577&lt;/D&gt;&lt;D xsi:type="xsd:double"&gt;-5.7820024&lt;/D&gt;&lt;D xsi:type="xsd:double"&gt;15.30615&lt;/D&gt;&lt;D xsi:type="xsd:double"&gt;5.488074&lt;/D&gt;&lt;D xsi:type="xsd:double"&gt;3.7077904&lt;/D&gt;&lt;D xsi:type="xsd:double"&gt;-0.9109199&lt;/D&gt;&lt;D xsi:type="xsd:double"&gt;-1.6347468&lt;/D&gt;&lt;D xsi:type="xsd:double"&gt;5.1151276&lt;/D&gt;&lt;D xsi:type="xsd:double"&gt;-2.3272634&lt;/D&gt;&lt;D xsi:type="xsd:double"&gt;-4.577148&lt;/D&gt;&lt;D xsi:type="xsd:double"&gt;-9.772354&lt;/D&gt;&lt;D xsi:type="xsd:double"&gt;6.1754346&lt;/D&gt;&lt;D xsi:type="xsd:double"&gt;8.836948&lt;/D&gt;&lt;D xsi:type="xsd:double"&gt;0.8985281&lt;/D&gt;&lt;D xsi:type="xsd:double"&gt;-1.0868788&lt;/D&gt;&lt;D xsi:type="xsd:double"&gt;8.178366&lt;/D&gt;&lt;D xsi:type="xsd:double"&gt;5.1487207&lt;/D&gt;&lt;D xsi:type="xsd:double"&gt;14.442897&lt;/D&gt;&lt;D xsi:type="xsd:double"&gt;20.15971&lt;/D&gt;&lt;D xsi:type="xsd:double"&gt;28.663181&lt;/D&gt;&lt;D xsi:type="xsd:double"&gt;27.360308&lt;/D&gt;&lt;D xsi:type="xsd:double"&gt;21.173954&lt;/D&gt;&lt;D xsi:type="xsd:double"&gt;25.647497&lt;/D&gt;&lt;D xsi:type="xsd:double"&gt;14.4697075&lt;/D&gt;&lt;D xsi:type="xsd:double"&gt;4.662204&lt;/D&gt;&lt;D xsi:type="xsd:double"&gt;7.896507&lt;/D&gt;&lt;D xsi:type="xsd:double"&gt;9.457374&lt;/D&gt;&lt;D xsi:type="xsd:double"&gt;6.1342835&lt;/D&gt;&lt;D xsi:type="xsd:double"&gt;2.1654844&lt;/D&gt;&lt;D xsi:type="xsd:double"&gt;0.5251527&lt;/D&gt;&lt;D xsi:type="xsd:double"&gt;-6.973296&lt;/D&gt;&lt;D xsi:type="xsd:double"&gt;-8.46135&lt;/D&gt;&lt;D xsi:type="xsd:double"&gt;-9.589445&lt;/D&gt;&lt;D xsi:type="xsd:double"&gt;-8.588039&lt;/D&gt;&lt;D xsi:type="xsd:double"&gt;-16.623926&lt;/D&gt;&lt;D xsi:type="xsd:double"&gt;-14.828324&lt;/D&gt;&lt;D xsi:type="xsd:double"&gt;-3.844732&lt;/D&gt;&lt;D xsi:type="xsd:double"&gt;-4.421723&lt;/D&gt;&lt;D xsi:type="xsd:double"&gt;-10.7132015&lt;/D&gt;&lt;D xsi:type="xsd:double"&gt;-10.952938&lt;/D&gt;&lt;D xsi:type="xsd:double"&gt;-5.75313&lt;/D&gt;&lt;D xsi:type="xsd:double"&gt;-2.9908538&lt;/D&gt;&lt;D xsi:type="xsd:double"&gt;1.8564463&lt;/D&gt;&lt;D xsi:type="xsd:double"&gt;-2.4717987&lt;/D&gt;&lt;D xsi:type="xsd:double"&gt;-11.214388&lt;/D&gt;&lt;D xsi:type="xsd:double"&gt;-35.958332&lt;/D&gt;&lt;D xsi:type="xsd:double"&gt;-17.12035&lt;/D&gt;&lt;D xsi:type="xsd:double"&gt;-12.520236&lt;/D&gt;&lt;D xsi:type="xsd:double"&gt;-11.02733&lt;/D&gt;&lt;D xsi:type="xsd:double"&gt;-4.596007&lt;/D&gt;&lt;D xsi:type="xsd:double"&gt;0.9057045&lt;/D&gt;&lt;D xsi:type="xsd:double"&gt;-3.7273765&lt;/D&gt;&lt;D xsi:type="xsd:double"&gt;-0.7336557&lt;/D&gt;&lt;D xsi:type="xsd:double"&gt;0.0050902367&lt;/D&gt;&lt;D xsi:type="xsd:double"&gt;5.7956934&lt;/D&gt;&lt;D xsi:type="xsd:double"&gt;-1.3440132&lt;/D&gt;&lt;D xsi:type="xsd:double"&gt;5.5292487&lt;/D&gt;&lt;D xsi:type="xsd:double"&gt;49.730278&lt;/D&gt;&lt;D xsi:type="xsd:double"&gt;19.704378&lt;/D&gt;&lt;D xsi:type="xsd:double"&gt;15.400732&lt;/D&gt;&lt;D xsi:type="xsd:double"&gt;6.631267&lt;/D&gt;&lt;D xsi:type="xsd:double"&gt;-6.344408&lt;/D&gt;&lt;D xsi:type="xsd:double"&gt;-6.616342&lt;/D&gt;&lt;D xsi:type="xsd:double"&gt;0.86716413&lt;/D&gt;&lt;D xsi:type="xsd:double"&gt;3.9984107&lt;/D&gt;&lt;D xsi:type="xsd:double"&gt;-5.6959333&lt;/D&gt;&lt;D xsi:type="xsd:double"&gt;-14.406657&lt;/D&gt;&lt;D xsi:type="xsd:double"&gt;-6.0456696&lt;/D&gt;&lt;D xsi:type="xsd:double"&gt;-0.8766353&lt;/D&gt;&lt;D xsi:type="xsd:double"&gt;-2.01661&lt;/D&gt;&lt;D xsi:type="xsd:double"&gt;-2.2835314&lt;/D&gt;&lt;D xsi:type="xsd:double"&gt;-6.455338&lt;/D&gt;&lt;D xsi:type="xsd:double"&gt;-12.307877&lt;/D&gt;&lt;D xsi:type="xsd:double"&gt;-8.180446&lt;/D&gt;&lt;D xsi:type="xsd:double"&gt;-4.0430903&lt;/D&gt;&lt;D xsi:type="xsd:double"&gt;-11.461717&lt;/D&gt;&lt;D xsi:type="xsd:double"&gt;-21.06818&lt;/D&gt;&lt;D xsi:type="xsd:double"&gt;-9.556717&lt;/D&gt;&lt;D xsi:type="xsd:double"&gt;-2.575624&lt;/D&gt;&lt;D xsi:type="xsd:double"&gt;-0.99484324&lt;/D&gt;&lt;D xsi:type="xsd:double"&gt;-9.349108&lt;/D&gt;&lt;D xsi:type="xsd:double"&gt;-14.499849&lt;/D&gt;&lt;D xsi:type="xsd:double"&gt;-10.374755&lt;/D&gt;&lt;D xsi:type="xsd:double"&gt;-7.2836637&lt;/D&gt;&lt;D xsi:type="xsd:double"&gt;-5.6441784&lt;/D&gt;&lt;D xsi:type="xsd:double"&gt;-0.30313134&lt;/D&gt;&lt;D xsi:type="xsd:double"&gt;-5.1371517&lt;/D&gt;&lt;D xsi:type="xsd:double"&gt;0.88472366&lt;/D&gt;&lt;D xsi:type="xsd:double"&gt;5.034709&lt;/D&gt;&lt;D xsi:type="xsd:double"&gt;1.7932773&lt;/D&gt;&lt;D xsi:type="xsd:double"&gt;-2.1888614&lt;/D&gt;&lt;D xsi:type="xsd:double"&gt;-7.762134&lt;/D&gt;&lt;D xsi:type="xsd:double"&gt;-2.539742&lt;/D&gt;&lt;D xsi:type="xsd:double"&gt;6.32478&lt;/D&gt;&lt;D xsi:type="xsd:double"&gt;2.199459&lt;/D&gt;&lt;D xsi:type="xsd:double"&gt;11.666894&lt;/D&gt;&lt;D xsi:type="xsd:double"&gt;16.049122&lt;/D&gt;&lt;D xsi:type="xsd:double"&gt;15.061892&lt;/D&gt;&lt;/FQL&gt;&lt;FQL&gt;&lt;Q&gt;GREK^FG_TOTAL_RETURNC(-10AY,0,AM)&lt;/Q&gt;&lt;R&gt;121&lt;/R&gt;&lt;C&gt;1&lt;/C&gt;&lt;D xsi:type="xsd:double"&gt;-9.888286&lt;/D&gt;&lt;D xsi:type="xsd:double"&gt;-6.9788814&lt;/D&gt;&lt;D xsi:type="xsd:double"&gt;-1.2833178&lt;/D&gt;&lt;D xsi:type="xsd:double"&gt;-16.850006&lt;/D&gt;&lt;D xsi:type="xsd:double"&gt;-0.54118633&lt;/D&gt;&lt;D xsi:type="xsd:double"&gt;-11.850065&lt;/D&gt;&lt;D xsi:type="xsd:double"&gt;-11.934012&lt;/D&gt;&lt;D xsi:type="xsd:double"&gt;0.7861614&lt;/D&gt;&lt;D xsi:type="xsd:double"&gt;-20.748829&lt;/D&gt;&lt;D xsi:type="xsd:double"&gt;3.0511737&lt;/D&gt;&lt;D xsi:type="xsd:double"&gt;19.770777&lt;/D&gt;&lt;D xsi:type="xsd:double"&gt;-11.483246&lt;/D&gt;&lt;D xsi:type="xsd:double"&gt;-6.8468513&lt;/D&gt;&lt;D xsi:type="xsd:double"&gt;-3.965187&lt;/D&gt;&lt;D xsi:type="xsd:double"&gt;6.344402&lt;/D&gt;&lt;D xsi:type="xsd:double"&gt;-1.9886315&lt;/D&gt;&lt;D xsi:type="xsd:double"&gt;-8.212561&lt;/D&gt;&lt;D xsi:type="xsd:double"&gt;-12.315792&lt;/D&gt;&lt;D xsi:type="xsd:double"&gt;-15.812338&lt;/D&gt;&lt;D xsi:type="xsd:double"&gt;-10.853839&lt;/D&gt;&lt;D xsi:type="xsd:double"&gt;18.019474&lt;/D&gt;&lt;D xsi:type="xsd:double"&gt;6.138921&lt;/D&gt;&lt;D xsi:type="xsd:double"&gt;8.47168&lt;/D&gt;&lt;D xsi:type="xsd:double"&gt;-9.557939&lt;/D&gt;&lt;D xsi:type="xsd:double"&gt;-4.0951195&lt;/D&gt;&lt;D xsi:type="xsd:double"&gt;1.9283772&lt;/D&gt;&lt;D xsi:type="xsd:double"&gt;-5.6756735&lt;/D&gt;&lt;D xsi:type="xsd:double"&gt;6.8767905&lt;/D&gt;&lt;D xsi:type="xsd:double"&gt;2.2788167&lt;/D&gt;&lt;D xsi:type="xsd:double"&gt;-0.91742873&lt;/D&gt;&lt;D xsi:type="xsd:double"&gt;5.4804206&lt;/D&gt;&lt;D xsi:type="xsd:double"&gt;-1.2787759&lt;/D&gt;&lt;D xsi:type="xsd:double"&gt;1.943016&lt;/D&gt;&lt;D xsi:type="xsd:double"&gt;1.397717&lt;/D&gt;&lt;D xsi:type="xsd:double"&gt;20.426046&lt;/D&gt;&lt;D xsi:type="xsd:double"&gt;3.7461042&lt;/D&gt;&lt;D xsi:type="xsd:double"&gt;8.024073&lt;/D&gt;&lt;D xsi:type="xsd:double"&gt;-4.1782737&lt;/D&gt;&lt;D xsi:type="xsd:double"&gt;-7.6550426&lt;/D&gt;&lt;D xsi:type="xsd:double"&gt;-1.7838478&lt;/D&gt;&lt;D xsi:type="xsd:double"&gt;-6.7307653&lt;/D&gt;&lt;D xsi:type="xsd:double"&gt;15.349377&lt;/D&gt;&lt;D xsi:type="xsd:double"&gt;11.064922&lt;/D&gt;&lt;D xsi:type="xsd:double"&gt;-0.82191825&lt;/D&gt;&lt;D xsi:type="xsd:double"&gt;-8.103127&lt;/D&gt;&lt;D xsi:type="xsd:double"&gt;8.116234&lt;/D&gt;&lt;D xsi:type="xsd:double"&gt;-12.974972&lt;/D&gt;&lt;D xsi:type="xsd:double"&gt;-1.5974462&lt;/D&gt;&lt;D xsi:type="xsd:double"&gt;0.86580515&lt;/D&gt;&lt;D xsi:type="xsd:double"&gt;-8.690977&lt;/D&gt;&lt;D xsi:type="xsd:double"&gt;-1.8801391&lt;/D&gt;&lt;D xsi:type="xsd:double"&gt;-9.940136&lt;/D&gt;&lt;D xsi:type="xsd:double"&gt;-2.3936093&lt;/D&gt;&lt;D xsi:type="xsd:double"&gt;-2.5885582&lt;/D&gt;&lt;D xsi:type="xsd:double"&gt;1.0178924&lt;/D&gt;&lt;D xsi:type="xsd:double"&gt;7.8014135&lt;/D&gt;&lt;D xsi:type="xsd:double"&gt;5.6578994&lt;/D&gt;&lt;D xsi:type="xsd:double"&gt;7.3474407&lt;/D&gt;&lt;D xsi:type="xsd:double"&gt;-8.816708&lt;/D&gt;&lt;D xsi:type="xsd:double"&gt;17.811716&lt;/D&gt;&lt;D xsi:type="xsd:double"&gt;3.0484796&lt;/D&gt;&lt;D xsi:type="xsd:double"&gt;-7.052642&lt;/D&gt;&lt;D xsi:type="xsd:double"&gt;6.681776&lt;/D&gt;&lt;D xsi:type="xsd:double"&gt;2.6539207&lt;/D&gt;&lt;D xsi:type="xsd:double"&gt;2.1716714&lt;/D&gt;&lt;D xsi:type="xsd:double"&gt;2.024293&lt;/D&gt;&lt;D xsi:type="xsd:double"&gt;1.2456298&lt;/D&gt;&lt;D xsi:type="xsd:double"&gt;-7.684636&lt;/D&gt;&lt;D xsi:type="xsd:double"&gt;-45.405407&lt;/D&gt;&lt;D xsi:type="xsd:double"&gt;20.59406&lt;/D&gt;&lt;D xsi:type="xsd:double"&gt;-3.3387065&lt;/D&gt;&lt;D xsi:type="xsd:double"&gt;13.193655&lt;/D&gt;&lt;D xsi:type="xsd:double"&gt;1.4799476&lt;/D&gt;&lt;D xsi:type="xsd:double"&gt;4.0694833&lt;/D&gt;&lt;D xsi:type="xsd:double"&gt;1.4306188&lt;/D&gt;&lt;D xsi:type="xsd:double"&gt;-9.543962&lt;/D&gt;&lt;D xsi:type="xsd:double"&gt;13.305616&lt;/D&gt;&lt;D xsi:type="xsd:double"&gt;19.174313&lt;/D&gt;&lt;D xsi:type="xsd:double"&gt;-0.6365478&lt;/D&gt;&lt;D xsi:type="xsd:double"&gt;-4.151845&lt;/D&gt;&lt;D xsi:type="xsd:double"&gt;7.4669957&lt;/D&gt;&lt;D xsi:type="xsd:double"&gt;4.721689&lt;/D&gt;&lt;D xsi:type="xsd:double"&gt;4.2155385&lt;/D&gt;&lt;D xsi:type="xsd:double"&gt;0.03517866&lt;/D&gt;&lt;D xsi:type="xsd:double"&gt;-9.493673&lt;/D&gt;&lt;D xsi:type="xsd:double"&gt;6.3325644&lt;/D&gt;&lt;D xsi:type="xsd:double"&gt;3.83631&lt;/D&gt;&lt;D xsi:type="xsd:double"&gt;-0.49437284&lt;/D&gt;&lt;D xsi:type="xsd:double"&gt;-2.367431&lt;/D&gt;&lt;D xsi:type="xsd:double"&gt;-4.2375984&lt;/D&gt;&lt;D xsi:type="xsd:double"&gt;9.489751&lt;/D&gt;&lt;D xsi:type="xsd:double"&gt;2.647376&lt;/D&gt;&lt;D xsi:type="xsd:double"&gt;-9.456671&lt;/D&gt;&lt;D xsi:type="xsd:double"&gt;5.469048&lt;/D&gt;&lt;D xsi:type="xsd:double"&gt;-9.2906&lt;/D&gt;&lt;D xsi:type="xsd:double"&gt;-5.518067&lt;/D&gt;&lt;D xsi:type="xsd:double"&gt;-3.8729131&lt;/D&gt;&lt;D xsi:type="xsd:double"&gt;9.027171&lt;/D&gt;&lt;D xsi:type="xsd:double"&gt;-5.6270065&lt;/D&gt;&lt;D xsi:type="xsd:double"&gt;-1.8313468&lt;/D&gt;&lt;D xsi:type="xsd:double"&gt;10.759222&lt;/D&gt;&lt;D xsi:type="xsd:double"&gt;4.8570275&lt;/D&gt;&lt;D xsi:type="xsd:double"&gt;9.036911&lt;/D&gt;&lt;D xsi:type="xsd:double"&gt;12.8998165&lt;/D&gt;&lt;D xsi:type="xsd:double"&gt;-10.242838&lt;/D&gt;&lt;D xsi:type="xsd:double"&gt;10.822058&lt;/D&gt;&lt;D xsi:type="xsd:double"&gt;0.1251936&lt;/D&gt;&lt;D xsi:type="xsd:double"&gt;15.317286&lt;/D&gt;&lt;D xsi:type="xsd:double"&gt;7.70396&lt;/D&gt;&lt;D xsi:type="xsd:double"&gt;-6.886077&lt;/D&gt;&lt;D xsi:type="xsd:double"&gt;-6.851554&lt;/D&gt;&lt;D xsi:type="xsd:double"&gt;-3.7653148&lt;/D&gt;&lt;D xsi:type="xsd:double"&gt;11.798609&lt;/D&gt;&lt;D xsi:type="xsd:double"&gt;3.309822&lt;/D&gt;&lt;D xsi:type="xsd:double"&gt;2.963996&lt;/D&gt;&lt;D xsi:type="xsd:double"&gt;3.9292216&lt;/D&gt;&lt;D xsi:type="xsd:double"&gt;-0.050073862&lt;/D&gt;&lt;D xsi:type="xsd:double"&gt;-2.555102&lt;/D&gt;&lt;D xsi:type="xsd:double"&gt;10.30848&lt;/D&gt;&lt;D xsi:type="xsd:double"&gt;-6.2689304&lt;/D&gt;&lt;D xsi:type="xsd:double"&gt;5.4454923&lt;/D&gt;&lt;/FQL&gt;&lt;FQL&gt;&lt;Q&gt;DUMMY^ECON_EXPR_DATA('FDS_ECON[NTCPMIMFGSA@EME]',,,M)&lt;/Q&gt;&lt;R&gt;1&lt;/R&gt;&lt;C&gt;1&lt;/C&gt;&lt;D xsi:type="xsd:double"&gt;52.09547&lt;/D&gt;&lt;/FQL&gt;&lt;FQL&gt;&lt;Q&gt;EWM^FMA_ROE(NTMA,-20AY,NOW,FY,"PORTAGG","MEANR")&lt;/Q&gt;&lt;R&gt;20&lt;/R&gt;&lt;C&gt;1&lt;/C&gt;&lt;D xsi:type="xsd:double"&gt;13.3764235591454&lt;/D&gt;&lt;D xsi:type="xsd:double"&gt;13.2591008782889&lt;/D&gt;&lt;D xsi:type="xsd:double"&gt;13.5343642097079&lt;/D&gt;&lt;D xsi:type="xsd:double"&gt;14.6672633006441&lt;/D&gt;&lt;D xsi:type="xsd:double"&gt;11.7899739556718&lt;/D&gt;&lt;D xsi:type="xsd:double"&gt;12.6973987236168&lt;/D&gt;&lt;D xsi:type="xsd:double"&gt;14.629974764894&lt;/D&gt;&lt;D xsi:type="xsd:double"&gt;13.8590428625605&lt;/D&gt;&lt;D xsi:type="xsd:double"&gt;13.2332711485965&lt;/D&gt;&lt;D xsi:type="xsd:double"&gt;13.0689929250701&lt;/D&gt;&lt;D xsi:type="xsd:double"&gt;12.0884430441681&lt;/D&gt;&lt;D xsi:type="xsd:double"&gt;10.6772868053956&lt;/D&gt;&lt;D xsi:type="xsd:double"&gt;9.6001106335988&lt;/D&gt;&lt;D xsi:type="xsd:double"&gt;9.81766059257374&lt;/D&gt;&lt;D xsi:type="xsd:double"&gt;9.62847705365634&lt;/D&gt;&lt;D xsi:type="xsd:double"&gt;9.33280715475934&lt;/D&gt;&lt;D xsi:type="xsd:double"&gt;10.6153952262209&lt;/D&gt;&lt;D xsi:type="xsd:double"&gt;9.47363114651142&lt;/D&gt;&lt;D xsi:type="xsd:double"&gt;10.1683466984571&lt;/D&gt;&lt;D xsi:type="xsd:double"&gt;9.55885733911211&lt;/D&gt;&lt;/FQL&gt;&lt;FQL&gt;&lt;Q&gt;TRYMX10Y-FDS^FG_YIELD(-10AY,0,Y,,"YTM")&lt;/Q&gt;&lt;R&gt;10&lt;/R&gt;&lt;C&gt;1&lt;/C&gt;&lt;D xsi:type="xsd:double"&gt;5.8237&lt;/D&gt;&lt;D xsi:type="xsd:double"&gt;6.2537&lt;/D&gt;&lt;D xsi:type="xsd:double"&gt;7.5651&lt;/D&gt;&lt;D xsi:type="xsd:double"&gt;7.6401&lt;/D&gt;&lt;D xsi:type="xsd:double"&gt;8.7069&lt;/D&gt;&lt;D xsi:type="xsd:double"&gt;6.8373&lt;/D&gt;&lt;D xsi:type="xsd:double"&gt;5.552&lt;/D&gt;&lt;D xsi:type="xsd:double"&gt;7.558&lt;/D&gt;&lt;D xsi:type="xsd:double"&gt;9.0223&lt;/D&gt;&lt;D xsi:type="xsd:double"&gt;8.95&lt;/D&gt;&lt;/FQL&gt;&lt;FQL&gt;&lt;Q&gt;TRYPE10Y-FDS^FG_YIELD(-10AY,0,Y,,"YTM")&lt;/Q&gt;&lt;R&gt;10&lt;/R&gt;&lt;C&gt;1&lt;/C&gt;&lt;D xsi:type="xsd:double"&gt;5.681629&lt;/D&gt;&lt;D xsi:type="xsd:double"&gt;7.426917&lt;/D&gt;&lt;D xsi:type="xsd:double"&gt;6.415413&lt;/D&gt;&lt;D xsi:type="xsd:double"&gt;5.167133&lt;/D&gt;&lt;D xsi:type="xsd:double"&gt;5.645114&lt;/D&gt;&lt;D xsi:type="xsd:double"&gt;4.243226&lt;/D&gt;&lt;D xsi:type="xsd:double"&gt;3.535983&lt;/D&gt;&lt;D xsi:type="xsd:double"&gt;5.889906&lt;/D&gt;&lt;D xsi:type="xsd:double"&gt;7.923381&lt;/D&gt;&lt;D xsi:type="xsd:double"&gt;6.6087&lt;/D&gt;&lt;/FQL&gt;&lt;FQL&gt;&lt;Q&gt;CAGDPY@CN^EE_ACTUAL_ANNUAL(MED,+1)&lt;/Q&gt;&lt;R&gt;1&lt;/R&gt;&lt;C&gt;1&lt;/C&gt;&lt;D xsi:type="xsd:double"&gt;1.3&lt;/D&gt;&lt;/FQL&gt;&lt;FQL&gt;&lt;Q&gt;CAGDPY@MY^EE_ACTUAL_ANNUAL(MED,+1)&lt;/Q&gt;&lt;R&gt;1&lt;/R&gt;&lt;C&gt;1&lt;/C&gt;&lt;D xsi:type="xsd:double"&gt;2.45&lt;/D&gt;&lt;/FQL&gt;&lt;FQL&gt;&lt;Q&gt;CC_AE^FG_COMPANY_NAME&lt;/Q&gt;&lt;R&gt;1&lt;/R&gt;&lt;C&gt;1&lt;/C&gt;&lt;D xsi:type="xsd:string"&gt;United Arab Emirates&lt;/D&gt;&lt;/FQL&gt;&lt;FQL&gt;&lt;Q&gt;CC_ID^FG_COMPANY_NAME&lt;/Q&gt;&lt;R&gt;1&lt;/R&gt;&lt;C&gt;1&lt;/C&gt;&lt;D xsi:type="xsd:string"&gt;Indonesia&lt;/D&gt;&lt;/FQL&gt;&lt;FQL&gt;&lt;Q&gt;USDVND^FG_PRICE_CHANGE(0,-1AY)&lt;/Q&gt;&lt;R&gt;1&lt;/R&gt;&lt;C&gt;1&lt;/C&gt;&lt;D xsi:type="xsd:double"&gt;7.1572185&lt;/D&gt;&lt;/FQL&gt;&lt;FQL&gt;&lt;Q&gt;USDTRY^FG_PRICE_CHANGE(0,-1AY)&lt;/Q&gt;&lt;R&gt;1&lt;/R&gt;&lt;C&gt;1&lt;/C&gt;&lt;D xsi:type="xsd:double"&gt;22.967838&lt;/D&gt;&lt;/FQL&gt;&lt;FQL&gt;&lt;Q&gt;USDQAR^FG_PRICE_CHANGE(0,-1AY)&lt;/Q&gt;&lt;R&gt;1&lt;/R&gt;&lt;C&gt;1&lt;/C&gt;&lt;D xsi:type="xsd:double"&gt;0.02746582&lt;/D&gt;&lt;/FQL&gt;&lt;FQL&gt;&lt;Q&gt;USDINR^FG_PRICE_CHANGE(0,-1AY)&lt;/Q&gt;&lt;R&gt;1&lt;/R&gt;&lt;C&gt;1&lt;/C&gt;&lt;D xsi:type="xsd:double"&gt;1.9093752&lt;/D&gt;&lt;/FQL&gt;&lt;FQL&gt;&lt;Q&gt;USDZAR^FG_PRICE_CHANGE(0,-1AY)&lt;/Q&gt;&lt;R&gt;1&lt;/R&gt;&lt;C&gt;1&lt;/C&gt;&lt;D xsi:type="xsd:double"&gt;1.9126415&lt;/D&gt;&lt;/FQL&gt;&lt;FQL&gt;&lt;Q&gt;USDKRW^FG_PRICE_CHANGE(0,-1AY)&lt;/Q&gt;&lt;R&gt;1&lt;/R&gt;&lt;C&gt;1&lt;/C&gt;&lt;D xsi:type="xsd:double"&gt;9.580814&lt;/D&gt;&lt;/FQL&gt;&lt;FQL&gt;&lt;Q&gt;USDTWD^FG_PRICE_CHANGE(0,-1AY)&lt;/Q&gt;&lt;R&gt;1&lt;/R&gt;&lt;C&gt;1&lt;/C&gt;&lt;D xsi:type="xsd:double"&gt;5.2820325&lt;/D&gt;&lt;/FQL&gt;&lt;FQL&gt;&lt;Q&gt;USDPEN^FG_PRICE_CHANGE(0,-1AY)&lt;/Q&gt;&lt;R&gt;1&lt;/R&gt;&lt;C&gt;1&lt;/C&gt;&lt;D xsi:type="xsd:double"&gt;4.6974063&lt;/D&gt;&lt;/FQL&gt;&lt;FQL&gt;&lt;Q&gt;USDPHP^FG_PRICE_CHANGE(0,-1AY)&lt;/Q&gt;&lt;R&gt;1&lt;/R&gt;&lt;C&gt;1&lt;/C&gt;&lt;D xsi:type="xsd:double"&gt;7.0216656&lt;/D&gt;&lt;/FQL&gt;&lt;FQL&gt;&lt;Q&gt;USDCLP^FG_PRICE_CHANGE(0,-1AY)&lt;/Q&gt;&lt;R&gt;1&lt;/R&gt;&lt;C&gt;1&lt;/C&gt;&lt;D xsi:type="xsd:double"&gt;15.681494&lt;/D&gt;&lt;/FQL&gt;&lt;FQL&gt;&lt;Q&gt;FC0000QA^FMA_EPS(NTMA,-20AY,0,CY,,"PORTAGG","MEANR")&lt;/Q&gt;&lt;R&gt;20&lt;/R&gt;&lt;C&gt;1&lt;/C&gt;&lt;D xsi:type="xsd:string"&gt;@NA&lt;/D&gt;&lt;D xsi:type="xsd:string"&gt;@NA&lt;/D&gt;&lt;D xsi:type="xsd:double"&gt;8.19979965085614&lt;/D&gt;&lt;D xsi:type="xsd:double"&gt;9.86863008324955&lt;/D&gt;&lt;D xsi:type="xsd:double"&gt;11.8416183510855&lt;/D&gt;&lt;D xsi:type="xsd:double"&gt;9.76511455010403&lt;/D&gt;&lt;D xsi:type="xsd:double"&gt;8.67191902894658&lt;/D&gt;&lt;D xsi:type="xsd:double"&gt;9.6607184301563&lt;/D&gt;&lt;D xsi:type="xsd:double"&gt;10.0321675505118&lt;/D&gt;&lt;D xsi:type="xsd:double"&gt;9.69647619984179&lt;/D&gt;&lt;D xsi:type="xsd:double"&gt;9.72756648791858&lt;/D&gt;&lt;D xsi:type="xsd:double"&gt;9.25802090548642&lt;/D&gt;&lt;D xsi:type="xsd:double"&gt;8.13418419337586&lt;/D&gt;&lt;D xsi:type="xsd:double"&gt;7.80636838365136&lt;/D&gt;&lt;D xsi:type="xsd:double"&gt;8.33677509681871&lt;/D&gt;&lt;D xsi:type="xsd:double"&gt;7.7374565221449&lt;/D&gt;&lt;D xsi:type="xsd:double"&gt;7.78465315909482&lt;/D&gt;&lt;D xsi:type="xsd:double"&gt;9.35773101457557&lt;/D&gt;&lt;D xsi:type="xsd:double"&gt;9.97398745950005&lt;/D&gt;&lt;D xsi:type="xsd:double"&gt;9.61320801792281&lt;/D&gt;&lt;/FQL&gt;&lt;FQL&gt;&lt;Q&gt;FC0000CL^JULIAN(FMA_EPS(NTMA,-20AY,0,CY,,"PORTAGG","MEANR").DATES)&lt;/Q&gt;&lt;R&gt;20&lt;/R&gt;&lt;C&gt;1&lt;/C&gt;&lt;D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xsi:type="xsd:long"&gt;45289&lt;/D&gt;&lt;/FQL&gt;&lt;FQL&gt;&lt;Q&gt;EPU^P_PRICE_RETURNS_PR('52W',2,-10AY,0,AM)&lt;/Q&gt;&lt;R&gt;121&lt;/R&gt;&lt;C&gt;1&lt;/C&gt;&lt;D xsi:type="xsd:double"&gt;11.855232&lt;/D&gt;&lt;D xsi:type="xsd:double"&gt;7.1440816&lt;/D&gt;&lt;D xsi:type="xsd:double"&gt;6.0207963&lt;/D&gt;&lt;D xsi:type="xsd:double"&gt;-1.2054741&lt;/D&gt;&lt;D xsi:type="xsd:double"&gt;3.6610484&lt;/D&gt;&lt;D xsi:type="xsd:double"&gt;-1.954937&lt;/D&gt;&lt;D xsi:type="xsd:double"&gt;-8.437878&lt;/D&gt;&lt;D xsi:type="xsd:double"&gt;-7.4723186&lt;/D&gt;&lt;D xsi:type="xsd:double"&gt;-7.0698204&lt;/D&gt;&lt;D xsi:type="xsd:double"&gt;-9.978735&lt;/D&gt;&lt;D xsi:type="xsd:double"&gt;-10.314054&lt;/D&gt;&lt;D xsi:type="xsd:double"&gt;-15.169549&lt;/D&gt;&lt;D xsi:type="xsd:double"&gt;-21.296383&lt;/D&gt;&lt;D xsi:type="xsd:double"&gt;-35.615826&lt;/D&gt;&lt;D xsi:type="xsd:double"&gt;-36.026108&lt;/D&gt;&lt;D xsi:type="xsd:double"&gt;-29.167694&lt;/D&gt;&lt;D xsi:type="xsd:double"&gt;-31.919294&lt;/D&gt;&lt;D xsi:type="xsd:double"&gt;-36.079525&lt;/D&gt;&lt;D xsi:type="xsd:double"&gt;-39.60406&lt;/D&gt;&lt;D xsi:type="xsd:double"&gt;-29.029823&lt;/D&gt;&lt;D xsi:type="xsd:double"&gt;-7.194191&lt;/D&gt;&lt;D xsi:type="xsd:double"&gt;4.224205&lt;/D&gt;&lt;D xsi:type="xsd:double"&gt;-1.9013941&lt;/D&gt;&lt;D xsi:type="xsd:double"&gt;1.8787861&lt;/D&gt;&lt;D xsi:type="xsd:double"&gt;18.819702&lt;/D&gt;&lt;D xsi:type="xsd:double"&gt;55.19365&lt;/D&gt;&lt;D xsi:type="xsd:double"&gt;45.231937&lt;/D&gt;&lt;D xsi:type="xsd:double"&gt;43.53552&lt;/D&gt;&lt;D xsi:type="xsd:double"&gt;47.148193&lt;/D&gt;&lt;D xsi:type="xsd:double"&gt;60.42868&lt;/D&gt;&lt;D xsi:type="xsd:double"&gt;89.8242&lt;/D&gt;&lt;D xsi:type="xsd:double"&gt;67.86465&lt;/D&gt;&lt;D xsi:type="xsd:double"&gt;31.531275&lt;/D&gt;&lt;D xsi:type="xsd:double"&gt;12.15601&lt;/D&gt;&lt;D xsi:type="xsd:double"&gt;18.996822&lt;/D&gt;&lt;D xsi:type="xsd:double"&gt;14.181721&lt;/D&gt;&lt;D xsi:type="xsd:double"&gt;8.677351&lt;/D&gt;&lt;D xsi:type="xsd:double"&gt;4.030323&lt;/D&gt;&lt;D xsi:type="xsd:double"&gt;19.386435&lt;/D&gt;&lt;D xsi:type="xsd:double"&gt;27.487553&lt;/D&gt;&lt;D xsi:type="xsd:double"&gt;29.73993&lt;/D&gt;&lt;D xsi:type="xsd:double"&gt;25.386547&lt;/D&gt;&lt;D xsi:type="xsd:double"&gt;33.244587&lt;/D&gt;&lt;D xsi:type="xsd:double"&gt;21.048843&lt;/D&gt;&lt;D xsi:type="xsd:double"&gt;27.32117&lt;/D&gt;&lt;D xsi:type="xsd:double"&gt;38.453316&lt;/D&gt;&lt;D xsi:type="xsd:double"&gt;28.902996&lt;/D&gt;&lt;D xsi:type="xsd:double"&gt;24.9799&lt;/D&gt;&lt;D xsi:type="xsd:double"&gt;14.694107&lt;/D&gt;&lt;D xsi:type="xsd:double"&gt;6.046355&lt;/D&gt;&lt;D xsi:type="xsd:double"&gt;-2.5378108&lt;/D&gt;&lt;D xsi:type="xsd:double"&gt;-10.929161&lt;/D&gt;&lt;D xsi:type="xsd:double"&gt;-9.347111&lt;/D&gt;&lt;D xsi:type="xsd:double"&gt;-8.182019&lt;/D&gt;&lt;D xsi:type="xsd:double"&gt;-14.603382&lt;/D&gt;&lt;D xsi:type="xsd:double"&gt;-6.908655&lt;/D&gt;&lt;D xsi:type="xsd:double"&gt;-2.7763665&lt;/D&gt;&lt;D xsi:type="xsd:double"&gt;-12.512684&lt;/D&gt;&lt;D xsi:type="xsd:double"&gt;-15.513581&lt;/D&gt;&lt;D xsi:type="xsd:double"&gt;-9.192795&lt;/D&gt;&lt;D xsi:type="xsd:double"&gt;-1.1268914&lt;/D&gt;&lt;D xsi:type="xsd:double"&gt;-8.300418&lt;/D&gt;&lt;D xsi:type="xsd:double"&gt;-2.6313424&lt;/D&gt;&lt;D xsi:type="xsd:double"&gt;-1.820606&lt;/D&gt;&lt;D xsi:type="xsd:double"&gt;-1.1751771&lt;/D&gt;&lt;D xsi:type="xsd:double"&gt;4.8260927&lt;/D&gt;&lt;D xsi:type="xsd:double"&gt;3.5504103&lt;/D&gt;&lt;D xsi:type="xsd:double"&gt;-7.639897&lt;/D&gt;&lt;D xsi:type="xsd:double"&gt;-42.31105&lt;/D&gt;&lt;D xsi:type="xsd:double"&gt;-34.282368&lt;/D&gt;&lt;D xsi:type="xsd:double"&gt;-23.302341&lt;/D&gt;&lt;D xsi:type="xsd:double"&gt;-18.519466&lt;/D&gt;&lt;D xsi:type="xsd:double"&gt;-21.334957&lt;/D&gt;&lt;D xsi:type="xsd:double"&gt;-4.401845&lt;/D&gt;&lt;D xsi:type="xsd:double"&gt;-10.341292&lt;/D&gt;&lt;D xsi:type="xsd:double"&gt;-12.18999&lt;/D&gt;&lt;D xsi:type="xsd:double"&gt;-6.953466&lt;/D&gt;&lt;D xsi:type="xsd:double"&gt;1.0414481&lt;/D&gt;&lt;D xsi:type="xsd:double"&gt;-2.3388922&lt;/D&gt;&lt;D xsi:type="xsd:double"&gt;12.776268&lt;/D&gt;&lt;D xsi:type="xsd:double"&gt;64.6111&lt;/D&gt;&lt;D xsi:type="xsd:double"&gt;41.519238&lt;/D&gt;&lt;D xsi:type="xsd:double"&gt;28.788233&lt;/D&gt;&lt;D xsi:type="xsd:double"&gt;2.3492217&lt;/D&gt;&lt;D xsi:type="xsd:double"&gt;-2.4475813&lt;/D&gt;&lt;D xsi:type="xsd:double"&gt;-21.803724&lt;/D&gt;&lt;D xsi:type="xsd:double"&gt;-10.078687&lt;/D&gt;&lt;D xsi:type="xsd:double"&gt;4.1386485&lt;/D&gt;&lt;D xsi:type="xsd:double"&gt;-5.246907&lt;/D&gt;&lt;D xsi:type="xsd:double"&gt;-16.65703&lt;/D&gt;&lt;D xsi:type="xsd:double"&gt;-0.15833974&lt;/D&gt;&lt;D xsi:type="xsd:double"&gt;-5.369699&lt;/D&gt;&lt;D xsi:type="xsd:double"&gt;6.1538815&lt;/D&gt;&lt;D xsi:type="xsd:double"&gt;4.408467&lt;/D&gt;&lt;D xsi:type="xsd:double"&gt;-9.085215&lt;/D&gt;&lt;D xsi:type="xsd:double"&gt;2.224207&lt;/D&gt;&lt;D xsi:type="xsd:double"&gt;-4.448247&lt;/D&gt;&lt;D xsi:type="xsd:double"&gt;15.866351&lt;/D&gt;&lt;D xsi:type="xsd:double"&gt;2.5868773&lt;/D&gt;&lt;D xsi:type="xsd:double"&gt;-12.157572&lt;/D&gt;&lt;D xsi:type="xsd:double"&gt;3.4978747&lt;/D&gt;&lt;D xsi:type="xsd:double"&gt;3.7503958&lt;/D&gt;&lt;D xsi:type="xsd:double"&gt;-2.9029846&lt;/D&gt;&lt;D xsi:type="xsd:double"&gt;-10.212779&lt;/D&gt;&lt;D xsi:type="xsd:double"&gt;-18.391598&lt;/D&gt;&lt;D xsi:type="xsd:double"&gt;-4.2525053&lt;/D&gt;&lt;D xsi:type="xsd:double"&gt;8.26646&lt;/D&gt;&lt;D xsi:type="xsd:double"&gt;16.195452&lt;/D&gt;&lt;D xsi:type="xsd:double"&gt;36.73903&lt;/D&gt;&lt;D xsi:type="xsd:double"&gt;21.737576&lt;/D&gt;&lt;D xsi:type="xsd:double"&gt;25.865746&lt;/D&gt;&lt;D xsi:type="xsd:double"&gt;21.009457&lt;/D&gt;&lt;D xsi:type="xsd:double"&gt;9.488546&lt;/D&gt;&lt;D xsi:type="xsd:double"&gt;28.324116&lt;/D&gt;&lt;D xsi:type="xsd:double"&gt;10.849667&lt;/D&gt;&lt;D xsi:type="xsd:double"&gt;23.350216&lt;/D&gt;&lt;D xsi:type="xsd:double"&gt;40.606262&lt;/D&gt;&lt;D xsi:type="xsd:double"&gt;32.574524&lt;/D&gt;&lt;D xsi:type="xsd:double"&gt;50.204266&lt;/D&gt;&lt;D xsi:type="xsd:double"&gt;34.16716&lt;/D&gt;&lt;D xsi:type="xsd:double"&gt;30.46025&lt;/D&gt;&lt;/FQL&gt;&lt;FQL&gt;&lt;Q&gt;EZA^FG_TOTAL_RETURNC(-10AY,0,AM)&lt;/Q&gt;&lt;R&gt;121&lt;/R&gt;&lt;C&gt;1&lt;/C&gt;&lt;D xsi:type="xsd:double"&gt;1.5886784&lt;/D&gt;&lt;D xsi:type="xsd:double"&gt;1.3161659&lt;/D&gt;&lt;D xsi:type="xsd:double"&gt;-3.6995232&lt;/D&gt;&lt;D xsi:type="xsd:double"&gt;-6.01173&lt;/D&gt;&lt;D xsi:type="xsd:double"&gt;8.845556&lt;/D&gt;&lt;D xsi:type="xsd:double"&gt;-6.0410557&lt;/D&gt;&lt;D xsi:type="xsd:double"&gt;0.6335974&lt;/D&gt;&lt;D xsi:type="xsd:double"&gt;5.3439736&lt;/D&gt;&lt;D xsi:type="xsd:double"&gt;-5.2040815&lt;/D&gt;&lt;D xsi:type="xsd:double"&gt;7.565737&lt;/D&gt;&lt;D xsi:type="xsd:double"&gt;-0.7004976&lt;/D&gt;&lt;D xsi:type="xsd:double"&gt;-7.4287295&lt;/D&gt;&lt;D xsi:type="xsd:double"&gt;2.1886945&lt;/D&gt;&lt;D xsi:type="xsd:double"&gt;-10.529548&lt;/D&gt;&lt;D xsi:type="xsd:double"&gt;-3.5340548&lt;/D&gt;&lt;D xsi:type="xsd:doub</t>
        </r>
      </text>
    </comment>
    <comment ref="A2" authorId="0" shapeId="0" xr:uid="{2A33114C-A1E2-43CA-92C2-4DD95709DE58}">
      <text>
        <r>
          <rPr>
            <b/>
            <sz val="9"/>
            <color indexed="81"/>
            <rFont val="Tahoma"/>
            <charset val="1"/>
          </rPr>
          <t>le"&gt;6.420064&lt;/D&gt;&lt;D xsi:type="xsd:double"&gt;-6.3001337&lt;/D&gt;&lt;D xsi:type="xsd:double"&gt;-15.141785&lt;/D&gt;&lt;D xsi:type="xsd:double"&gt;-15.271055&lt;/D&gt;&lt;D xsi:type="xsd:double"&gt;16.510986&lt;/D&gt;&lt;D xsi:type="xsd:double"&gt;12.697721&lt;/D&gt;&lt;D xsi:type="xsd:double"&gt;7.8638673&lt;/D&gt;&lt;D xsi:type="xsd:double"&gt;-14.759356&lt;/D&gt;&lt;D xsi:type="xsd:double"&gt;7.2563767&lt;/D&gt;&lt;D xsi:type="xsd:double"&gt;10.990822&lt;/D&gt;&lt;D xsi:type="xsd:double"&gt;7.8914046&lt;/D&gt;&lt;D xsi:type="xsd:double"&gt;-7.314211&lt;/D&gt;&lt;D xsi:type="xsd:double"&gt;-1.1402726&lt;/D&gt;&lt;D xsi:type="xsd:double"&gt;-8.257044&lt;/D&gt;&lt;D xsi:type="xsd:double"&gt;0.7383704&lt;/D&gt;&lt;D xsi:type="xsd:double"&gt;9.133398&lt;/D&gt;&lt;D xsi:type="xsd:double"&gt;3.4495473&lt;/D&gt;&lt;D xsi:type="xsd:double"&gt;5.0904512&lt;/D&gt;&lt;D xsi:type="xsd:double"&gt;-3.8818538&lt;/D&gt;&lt;D xsi:type="xsd:double"&gt;5.496049&lt;/D&gt;&lt;D xsi:type="xsd:double"&gt;-3.645146&lt;/D&gt;&lt;D xsi:type="xsd:double"&gt;5.6033015&lt;/D&gt;&lt;D xsi:type="xsd:double"&gt;0.412333&lt;/D&gt;&lt;D xsi:type="xsd:double"&gt;-1.1826575&lt;/D&gt;&lt;D xsi:type="xsd:double"&gt;2.1941543&lt;/D&gt;&lt;D xsi:type="xsd:double"&gt;1.5452147&lt;/D&gt;&lt;D xsi:type="xsd:double"&gt;6.5627217&lt;/D&gt;&lt;D xsi:type="xsd:double"&gt;8.981943&lt;/D&gt;&lt;D xsi:type="xsd:double"&gt;3.369069&lt;/D&gt;&lt;D xsi:type="xsd:double"&gt;-5.8316526&lt;/D&gt;&lt;D xsi:type="xsd:double"&gt;-0.8581221&lt;/D&gt;&lt;D xsi:type="xsd:double"&gt;-9.016156&lt;/D&gt;&lt;D xsi:type="xsd:double"&gt;-10.468805&lt;/D&gt;&lt;D xsi:type="xsd:double"&gt;3.6144495&lt;/D&gt;&lt;D xsi:type="xsd:double"&gt;-7.757717&lt;/D&gt;&lt;D xsi:type="xsd:double"&gt;-0.6397009&lt;/D&gt;&lt;D xsi:type="xsd:double"&gt;-6.343502&lt;/D&gt;&lt;D xsi:type="xsd:double"&gt;5.7824492&lt;/D&gt;&lt;D xsi:type="xsd:double"&gt;-5.4353895&lt;/D&gt;&lt;D xsi:type="xsd:double"&gt;13.132358&lt;/D&gt;&lt;D xsi:type="xsd:double"&gt;-1.6791403&lt;/D&gt;&lt;D xsi:type="xsd:double"&gt;-1.9305706&lt;/D&gt;&lt;D xsi:type="xsd:double"&gt;10.107887&lt;/D&gt;&lt;D xsi:type="xsd:double"&gt;-8.389198&lt;/D&gt;&lt;D xsi:type="xsd:double"&gt;5.5632353&lt;/D&gt;&lt;D xsi:type="xsd:double"&gt;0.07289648&lt;/D&gt;&lt;D xsi:type="xsd:double"&gt;-16.281187&lt;/D&gt;&lt;D xsi:type="xsd:double"&gt;10.093534&lt;/D&gt;&lt;D xsi:type="xsd:double"&gt;0.67180395&lt;/D&gt;&lt;D xsi:type="xsd:double"&gt;1.1187434&lt;/D&gt;&lt;D xsi:type="xsd:double"&gt;3.8283706&lt;/D&gt;&lt;D xsi:type="xsd:double"&gt;-0.22615194&lt;/D&gt;&lt;D xsi:type="xsd:double"&gt;-3.9151013&lt;/D&gt;&lt;D xsi:type="xsd:double"&gt;-44.97105&lt;/D&gt;&lt;D xsi:type="xsd:double"&gt;17.770851&lt;/D&gt;&lt;D xsi:type="xsd:double"&gt;9.0999365&lt;/D&gt;&lt;D xsi:type="xsd:double"&gt;9.153414&lt;/D&gt;&lt;D xsi:type="xsd:double"&gt;9.507645&lt;/D&gt;&lt;D xsi:type="xsd:double"&gt;-4.4185996&lt;/D&gt;&lt;D xsi:type="xsd:double"&gt;2.7574897&lt;/D&gt;&lt;D xsi:type="xsd:double"&gt;-0.26308298&lt;/D&gt;&lt;D xsi:type="xsd:double"&gt;11.711943&lt;/D&gt;&lt;D xsi:type="xsd:double"&gt;11.078095&lt;/D&gt;&lt;D xsi:type="xsd:double"&gt;-0.11071563&lt;/D&gt;&lt;D xsi:type="xsd:double"&gt;8.313012&lt;/D&gt;&lt;D xsi:type="xsd:double"&gt;-0.12280345&lt;/D&gt;&lt;D xsi:type="xsd:double"&gt;6.270492&lt;/D&gt;&lt;D xsi:type="xsd:double"&gt;-1.5233338&lt;/D&gt;&lt;D xsi:type="xsd:double"&gt;-3.9405465&lt;/D&gt;&lt;D xsi:type="xsd:double"&gt;-3.7646592&lt;/D&gt;&lt;D xsi:type="xsd:double"&gt;-2.2017956&lt;/D&gt;&lt;D xsi:type="xsd:double"&gt;0.8743167&lt;/D&gt;&lt;D xsi:type="xsd:double"&gt;8.559036&lt;/D&gt;&lt;D xsi:type="xsd:double"&gt;-7.604784&lt;/D&gt;&lt;D xsi:type="xsd:double"&gt;-0.7789433&lt;/D&gt;&lt;D xsi:type="xsd:double"&gt;9.018922&lt;/D&gt;&lt;D xsi:type="xsd:double"&gt;5.468118&lt;/D&gt;&lt;D xsi:type="xsd:double"&gt;4.495883&lt;/D&gt;&lt;D xsi:type="xsd:double"&gt;-4.96155&lt;/D&gt;&lt;D xsi:type="xsd:double"&gt;-11.404347&lt;/D&gt;&lt;D xsi:type="xsd:double"&gt;-6.0528936&lt;/D&gt;&lt;D xsi:type="xsd:double"&gt;-3.241831&lt;/D&gt;&lt;D xsi:type="xsd:double"&gt;2.5678635&lt;/D&gt;&lt;D xsi:type="xsd:double"&gt;-7.8445315&lt;/D&gt;&lt;D xsi:type="xsd:double"&gt;-3.7257493&lt;/D&gt;&lt;D xsi:type="xsd:double"&gt;16.769695&lt;/D&gt;&lt;D xsi:type="xsd:double"&gt;-1.3228536&lt;/D&gt;&lt;D xsi:type="xsd:double"&gt;7.8143477&lt;/D&gt;&lt;D xsi:type="xsd:double"&gt;-6.171751&lt;/D&gt;&lt;D xsi:type="xsd:double"&gt;-8.263117&lt;/D&gt;&lt;D xsi:type="xsd:double"&gt;9.95152&lt;/D&gt;&lt;D xsi:type="xsd:double"&gt;-10.164774&lt;/D&gt;&lt;D xsi:type="xsd:double"&gt;11.038864&lt;/D&gt;&lt;D xsi:type="xsd:double"&gt;1.5147924&lt;/D&gt;&lt;D xsi:type="xsd:double"&gt;-9.979015&lt;/D&gt;&lt;D xsi:type="xsd:double"&gt;-0.3107965&lt;/D&gt;&lt;D xsi:type="xsd:double"&gt;-2.0265043&lt;/D&gt;&lt;D xsi:type="xsd:double"&gt;6.97428&lt;/D&gt;&lt;D xsi:type="xsd:double"&gt;2.9251337&lt;/D&gt;&lt;D xsi:type="xsd:double"&gt;-7.067317&lt;/D&gt;&lt;D xsi:type="xsd:double"&gt;1.4431834&lt;/D&gt;&lt;D xsi:type="xsd:double"&gt;-2.7935803&lt;/D&gt;&lt;D xsi:type="xsd:double"&gt;2.1820068&lt;/D&gt;&lt;D xsi:type="xsd:double"&gt;14.296865&lt;/D&gt;&lt;D xsi:type="xsd:double"&gt;2.1253347&lt;/D&gt;&lt;D xsi:type="xsd:double"&gt;-1.9487917&lt;/D&gt;&lt;/FQL&gt;&lt;FQL&gt;&lt;Q&gt;TUR^FMA_DIV_YLD(NTMA,-10AY,0,AM,"PORTAGG","MEANR")&lt;/Q&gt;&lt;R&gt;121&lt;/R&gt;&lt;C&gt;1&lt;/C&gt;&lt;D xsi:type="xsd:double"&gt;2.6956427860356&lt;/D&gt;&lt;D xsi:type="xsd:double"&gt;3.07334927153517&lt;/D&gt;&lt;D xsi:type="xsd:double"&gt;3.12334032168294&lt;/D&gt;&lt;D xsi:type="xsd:double"&gt;3.15422064001449&lt;/D&gt;&lt;D xsi:type="xsd:double"&gt;2.88322738414143&lt;/D&gt;&lt;D xsi:type="xsd:double"&gt;2.79497066249419&lt;/D&gt;&lt;D xsi:type="xsd:double"&gt;2.71527275766391&lt;/D&gt;&lt;D xsi:type="xsd:double"&gt;2.84632051653839&lt;/D&gt;&lt;D xsi:type="xsd:double"&gt;2.96483964309464&lt;/D&gt;&lt;D xsi:type="xsd:double"&gt;2.92990024433612&lt;/D&gt;&lt;D xsi:type="xsd:double"&gt;2.72363275515601&lt;/D&gt;&lt;D xsi:type="xsd:double"&gt;3.00054203399444&lt;/D&gt;&lt;D xsi:type="xsd:double"&gt;3.00745844263003&lt;/D&gt;&lt;D xsi:type="xsd:double"&gt;3.29922032010289&lt;/D&gt;&lt;D xsi:type="xsd:double"&gt;3.38292748832137&lt;/D&gt;&lt;D xsi:type="xsd:double"&gt;3.15716852957048&lt;/D&gt;&lt;D xsi:type="xsd:double"&gt;3.18832844421271&lt;/D&gt;&lt;D xsi:type="xsd:double"&gt;3.59017945498175&lt;/D&gt;&lt;D xsi:type="xsd:double"&gt;3.67715938250091&lt;/D&gt;&lt;D xsi:type="xsd:double"&gt;3.55401747633635&lt;/D&gt;&lt;D xsi:type="xsd:double"&gt;3.09951135672876&lt;/D&gt;&lt;D xsi:type="xsd:double"&gt;3.15091720823131&lt;/D&gt;&lt;D xsi:type="xsd:double"&gt;3.48182228526003&lt;/D&gt;&lt;D xsi:type="xsd:double"&gt;3.63977515425848&lt;/D&gt;&lt;D xsi:type="xsd:double"&gt;3.62654688567533&lt;/D&gt;&lt;D xsi:type="xsd:double"&gt;3.45573843523741&lt;/D&gt;&lt;D xsi:type="xsd:double"&gt;3.54479069282841&lt;/D&gt;&lt;D xsi:type="xsd:double"&gt;3.54300126010973&lt;/D&gt;&lt;D xsi:type="xsd:double"&gt;3.75846537058808&lt;/D&gt;&lt;D xsi:type="xsd:double"&gt;3.8186839304511&lt;/D&gt;&lt;D xsi:type="xsd:double"&gt;3.67564830532928&lt;/D&gt;&lt;D xsi:type="xsd:double"&gt;3.48926459041305&lt;/D&gt;&lt;D xsi:type="xsd:double"&gt;3.52671355372339&lt;/D&gt;&lt;D xsi:type="xsd:double"&gt;3.62229976033489&lt;/D&gt;&lt;D xsi:type="xsd:double"&gt;3.72503871754565&lt;/D&gt;&lt;D xsi:type="xsd:double"&gt;3.57556289878641&lt;/D&gt;&lt;D xsi:type="xsd:double"&gt;3.48261553127104&lt;/D&gt;&lt;D xsi:type="xsd:double"&gt;3.79357289311791&lt;/D&gt;&lt;D xsi:type="xsd:double"&gt;4.04401914350545&lt;/D&gt;&lt;D xsi:type="xsd:double"&gt;4.08681939437517&lt;/D&gt;&lt;D xsi:type="xsd:double"&gt;4.27844671176807&lt;/D&gt;&lt;D xsi:type="xsd:double"&gt;4.22872711752846&lt;/D&gt;&lt;D xsi:type="xsd:double"&gt;4.02577032737503&lt;/D&gt;&lt;D xsi:type="xsd:double"&gt;4.16404581837587&lt;/D&gt;&lt;D xsi:type="xsd:double"&gt;4.44013851256907&lt;/D&gt;&lt;D xsi:type="xsd:double"&gt;4.7246896722439&lt;/D&gt;&lt;D xsi:type="xsd:double"&gt;5.23310753197832&lt;/D&gt;&lt;D xsi:type="xsd:double"&gt;5.59331566186555&lt;/D&gt;&lt;D xsi:type="xsd:double"&gt;5.5791343070422&lt;/D&gt;&lt;D xsi:type="xsd:double"&gt;5.78131576347854&lt;/D&gt;&lt;D xsi:type="xsd:double"&gt;5.55754322540075&lt;/D&gt;&lt;D xsi:type="xsd:double"&gt;5.40351298229129&lt;/D&gt;&lt;D xsi:type="xsd:double"&gt;5.24452632154133&lt;/D&gt;&lt;D xsi:type="xsd:double"&gt;5.15978545967246&lt;/D&gt;&lt;D xsi:type="xsd:double"&gt;4.59055922637345&lt;/D&gt;&lt;D xsi:type="xsd:double"&gt;4.65150815108287&lt;/D&gt;&lt;D xsi:type="xsd:double"&gt;4.37849311066199&lt;/D&gt;&lt;D xsi:type="xsd:double"&gt;5.08178910149065&lt;/D&gt;&lt;D xsi:type="xsd:double"&gt;5.63081985452017&lt;/D&gt;&lt;D xsi:type="xsd:double"&gt;4.92188368037562&lt;/D&gt;&lt;D xsi:type="xsd:double"&gt;4.40537512758011&lt;/D&gt;&lt;D xsi:type="xsd:double"&gt;5.04964600876863&lt;/D&gt;&lt;D xsi:type="xsd:double"&gt;5.01269645038938&lt;/D&gt;&lt;D xsi:type="xsd:double"&gt;5.11766306750429&lt;/D&gt;&lt;D xsi:type="xsd:double"&gt;4.41616757209993&lt;/D&gt;&lt;D xsi:type="xsd:double"&gt;4.40622754357273&lt;/D&gt;&lt;D xsi:type="xsd:double"&gt;4.261206091408&lt;/D&gt;&lt;D xsi:type="xsd:double"&gt;4.40768641816714&lt;/D&gt;&lt;D xsi:type="xsd:double"&gt;6.01865724805731&lt;/D&gt;&lt;D xsi:type="xsd:double"&gt;4.82776211710077&lt;/D&gt;&lt;D xsi:type="xsd:double"&gt;3.96524984182129&lt;/D&gt;&lt;D xsi:type="xsd:double"&gt;3.21834145949255&lt;/D&gt;&lt;D xsi:type="xsd:double"&gt;3.31960882071936&lt;/D&gt;&lt;D xsi:type="xsd:double"&gt;3.96041863125953&lt;/D&gt;&lt;D xsi:type="xsd:double"&gt;4.5299846783014&lt;/D&gt;&lt;D xsi:type="xsd:double"&gt;4.21801893208157&lt;/D&gt;&lt;D xsi:type="xsd:double"&gt;3.93668791548295&lt;/D&gt;&lt;D xsi:type="xsd:double"&gt;3.86001374593634&lt;/D&gt;&lt;D xsi:type="xsd:double"&gt;3.82016106150841&lt;/D&gt;&lt;D xsi:type="xsd:double"&gt;4.48871386193196&lt;/D&gt;&lt;D xsi:type="xsd:double"&gt;4.55738148531396&lt;/D&gt;&lt;D xsi:type="xsd:double"&gt;5.43474823938442&lt;/D&gt;&lt;D xsi:type="xsd:double"&gt;5.35894990640037&lt;/D&gt;&lt;D xsi:type="xsd:double"&gt;5.59487389543976&lt;/D&gt;&lt;D xsi:type="xsd:double"&gt;6.05874648830605&lt;/D&gt;&lt;D xsi:type="xsd:double"&gt;5.85954250230842&lt;/D&gt;&lt;D xsi:type="xsd:double"&gt;6.06793690017868&lt;/D&gt;&lt;D xsi:type="xsd:double"&gt;6.12329571658346&lt;/D&gt;&lt;D xsi:type="xsd:double"&gt;5.09553968577008&lt;/D&gt;&lt;D xsi:type="xsd:double"&gt;4.70745243257924&lt;/D&gt;&lt;D xsi:type="xsd:double"&gt;5.55168353286306&lt;/D&gt;&lt;D xsi:type="xsd:double"&gt;5.82077225816085&lt;/D&gt;&lt;D xsi:type="xsd:double"&gt;5.98442676626081&lt;/D&gt;&lt;D xsi:type="xsd:double"&gt;5.34839387959543&lt;/D&gt;&lt;D xsi:type="xsd:double"&gt;5.60982151849469&lt;/D&gt;&lt;D xsi:type="xsd:double"&gt;5.38344756384583&lt;/D&gt;&lt;D xsi:type="xsd:double"&gt;6.09479796363815&lt;/D&gt;&lt;D xsi:type="xsd:double"&gt;4.95140930313712&lt;/D&gt;&lt;D xsi:type="xsd:double"&gt;5.11073342219644&lt;/D&gt;&lt;D xsi:type="xsd:double"&gt;5.00263347759177&lt;/D&gt;&lt;D xsi:type="xsd:double"&gt;5.04062821140223&lt;/D&gt;&lt;D xsi:type="xsd:double"&gt;4.44976842048577&lt;/D&gt;&lt;D xsi:type="xsd:double"&gt;4.7418415239317&lt;/D&gt;&lt;D xsi:type="xsd:double"&gt;5.27848298909083&lt;/D&gt;&lt;D xsi:type="xsd:double"&gt;4.83342692786243&lt;/D&gt;&lt;D xsi:type="xsd:double"&gt;5.0690800964149&lt;/D&gt;&lt;D xsi:type="xsd:double"&gt;5.65313187103981&lt;/D&gt;&lt;D xsi:type="xsd:double"&gt;4.73503741136042&lt;/D&gt;&lt;D xsi:type="xsd:double"&gt;4.03128138348512&lt;/D&gt;&lt;D xsi:type="xsd:double"&gt;3.77400810897163&lt;/D&gt;&lt;D xsi:type="xsd:double"&gt;3.93507786048793&lt;/D&gt;&lt;D xsi:type="xsd:double"&gt;4.22604131277665&lt;/D&gt;&lt;D xsi:type="xsd:double"&gt;4.45358377877457&lt;/D&gt;&lt;D xsi:type="xsd:double"&gt;4.73424936574513&lt;/D&gt;&lt;D xsi:type="xsd:double"&gt;4.42464122448461&lt;/D&gt;&lt;D xsi:type="xsd:double"&gt;4.06262522765114&lt;/D&gt;&lt;D xsi:type="xsd:double"&gt;4.25857355349847&lt;/D&gt;&lt;D xsi:type="xsd:double"&gt;4.30749232233658&lt;/D&gt;&lt;D xsi:type="xsd:double"&gt;4.23688491496498&lt;/D&gt;&lt;D xsi:type="xsd:double"&gt;3.97321663563106&lt;/D&gt;&lt;D xsi:type="xsd:double"&gt;3.89069403087472&lt;/D&gt;&lt;/FQL&gt;&lt;FQL&gt;&lt;Q&gt;ECH^FMA_DIV_YLD(NTMA,-10AY,0,AM,"PORTAGG","MEANR")&lt;/Q&gt;&lt;R&gt;121&lt;/R&gt;&lt;C&gt;1&lt;/C&gt;&lt;D xsi:type="xsd:double"&gt;3.10411753943853&lt;/D&gt;&lt;D xsi:type="xsd:double"&gt;3.09434684583153&lt;/D&gt;&lt;D xsi:type="xsd:double"&gt;3.02281445192268&lt;/D&gt;&lt;D xsi:type="xsd:double"&gt;3.28112539448991&lt;/D&gt;&lt;D xsi:type="xsd:double"&gt;2.9329308694265&lt;/D&gt;&lt;D xsi:type="xsd:double"&gt;3.22876340103443&lt;/D&gt;&lt;D xsi:type="xsd:double"&gt;3.30354097956142&lt;/D&gt;&lt;D xsi:type="xsd:double"&gt;3.11776401408488&lt;/D&gt;&lt;D xsi:type="xsd:double"&gt;3.3477604781094&lt;/D&gt;&lt;D xsi:type="xsd:double"&gt;3.14439795821398&lt;/D&gt;&lt;D xsi:type="xsd:double"&gt;3.17369495714477&lt;/D&gt;&lt;D xsi:type="xsd:double"&gt;3.436721172644&lt;/D&gt;&lt;D xsi:type="xsd:double"&gt;3.5360453629785&lt;/D&gt;&lt;D xsi:type="xsd:double"&gt;3.62847803507467&lt;/D&gt;&lt;D xsi:type="xsd:double"&gt;3.60467620321051&lt;/D&gt;&lt;D xsi:type="xsd:double"&gt;3.59115092748165&lt;/D&gt;&lt;D xsi:type="xsd:double"&gt;3.66120764773449&lt;/D&gt;&lt;D xsi:type="xsd:double"&gt;3.77120795257409&lt;/D&gt;&lt;D xsi:type="xsd:double"&gt;4.02498120191966&lt;/D&gt;&lt;D xsi:type="xsd:double"&gt;3.67411759260616&lt;/D&gt;&lt;D xsi:type="xsd:double"&gt;3.38461677924066&lt;/D&gt;&lt;D xsi:type="xsd:double"&gt;3.44407562204541&lt;/D&gt;&lt;D xsi:type="xsd:double"&gt;3.31393868434563&lt;/D&gt;&lt;D xsi:type="xsd:double"&gt;3.25989540417901&lt;/D&gt;&lt;D xsi:type="xsd:double"&gt;2.88048891286756&lt;/D&gt;&lt;D xsi:type="xsd:double"&gt;2.87761362696978&lt;/D&gt;&lt;D xsi:type="xsd:double"&gt;3.11483161052857&lt;/D&gt;&lt;D xsi:type="xsd:double"&gt;2.67903603871935&lt;/D&gt;&lt;D xsi:type="xsd:double"&gt;2.85342232256786&lt;/D&gt;&lt;D xsi:type="xsd:double"&gt;2.8605054217998&lt;/D&gt;&lt;D xsi:type="xsd:double"&gt;2.94127159264928&lt;/D&gt;&lt;D xsi:type="xsd:double"&gt;2.76252150015522&lt;/D&gt;&lt;D xsi:type="xsd:double"&gt;2.64078642672673&lt;/D&gt;&lt;D xsi:type="xsd:double"&gt;2.46481740450422&lt;/D&gt;&lt;D xsi:type="xsd:double"&gt;2.42293614039382&lt;/D&gt;&lt;D xsi:type="xsd:double"&gt;2.65752328725086&lt;/D&gt;&lt;D xsi:type="xsd:double"&gt;2.56131634368038&lt;/D&gt;&lt;D xsi:type="xsd:double"&gt;2.59048623174067&lt;/D&gt;&lt;D xsi:type="xsd:double"&gt;2.49249614170622&lt;/D&gt;&lt;D xsi:type="xsd:double"&gt;2.83102707942217&lt;/D&gt;&lt;D xsi:type="xsd:double"&gt;2.93376768473326&lt;/D&gt;&lt;D xsi:type="xsd:double"&gt;2.97349816772021&lt;/D&gt;&lt;D xsi:type="xsd:double"&gt;2.74797125622567&lt;/D&gt;&lt;D xsi:type="xsd:double"&gt;3.01602416284194&lt;/D&gt;&lt;D xsi:type="xsd:double"&gt;3.11676186186785&lt;/D&gt;&lt;D xsi:type="xsd:double"&gt;3.05125167742793&lt;/D&gt;&lt;D xsi:type="xsd:double"&gt;3.26901531215174&lt;/D&gt;&lt;D xsi:type="xsd:double"&gt;3.29776414268705&lt;/D&gt;&lt;D xsi:type="xsd:double"&gt;3.3103488850009&lt;/D&gt;&lt;D xsi:type="xsd:double"&gt;3.40945491635556&lt;/D&gt;&lt;D xsi:type="xsd:double"&gt;3.34736180632384&lt;/D&gt;&lt;D xsi:type="xsd:double"&gt;3.02414949762776&lt;/D&gt;&lt;D xsi:type="xsd:double"&gt;2.98019688812126&lt;/D&gt;&lt;D xsi:type="xsd:double"&gt;3.146727823953&lt;/D&gt;&lt;D xsi:type="xsd:double"&gt;2.91049749318637&lt;/D&gt;&lt;D xsi:type="xsd:double"&gt;2.95420893051595&lt;/D&gt;&lt;D xsi:type="xsd:double"&gt;3.03196746077563&lt;/D&gt;&lt;D xsi:type="xsd:double"&gt;2.94020195379755&lt;/D&gt;&lt;D xsi:type="xsd:double"&gt;3.25695038658398&lt;/D&gt;&lt;D xsi:type="xsd:double"&gt;3.30718415140903&lt;/D&gt;&lt;D xsi:type="xsd:double"&gt;3.20452929449634&lt;/D&gt;&lt;D xsi:type="xsd:double"&gt;3.48723666287375&lt;/D&gt;&lt;D xsi:type="xsd:double"&gt;3.25202385742261&lt;/D&gt;&lt;D xsi:type="xsd:double"&gt;3.16525276112541&lt;/D&gt;&lt;D xsi:type="xsd:double"&gt;3.48257483492884&lt;/D&gt;&lt;D xsi:type="xsd:double"&gt;3.65219747197605&lt;/D&gt;&lt;D xsi:type="xsd:double"&gt;3.60902437307366&lt;/D&gt;&lt;D xsi:type="xsd:double"&gt;3.85803821060053&lt;/D&gt;&lt;D xsi:type="xsd:double"&gt;5.55750754870121&lt;/D&gt;&lt;D xsi:type="xsd:double"&gt;4.22761719190067&lt;/D&gt;&lt;D xsi:type="xsd:double"&gt;3.75391736289502&lt;/D&gt;&lt;D xsi:type="xsd:double"&gt;3.37339996291128&lt;/D&gt;&lt;D xsi:type="xsd:double"&gt;3.3261401318058&lt;/D&gt;&lt;D xsi:type="xsd:double"&gt;3.36051272929931&lt;/D&gt;&lt;D xsi:type="xsd:double"&gt;3.81398112896265&lt;/D&gt;&lt;D xsi:type="xsd:double"&gt;3.84434093510227&lt;/D&gt;&lt;D xsi:type="xsd:double"&gt;3.3744322780965&lt;/D&gt;&lt;D xsi:type="xsd:double"&gt;3.18675992431182&lt;/D&gt;&lt;D xsi:type="xsd:double"&gt;2.99854925464956&lt;/D&gt;&lt;D xsi:type="xsd:double"&gt;2.97465559973628&lt;/D&gt;&lt;D xsi:type="xsd:double"&gt;2.84547005244362&lt;/D&gt;&lt;D xsi:type="xsd:double"&gt;3.06184825024655&lt;/D&gt;&lt;D xsi:type="xsd:double"&gt;4.0756183540911&lt;/D&gt;&lt;D xsi:type="xsd:double"&gt;3.9295422303544&lt;/D&gt;&lt;D xsi:type="xsd:double"&gt;4.31356079080322&lt;/D&gt;&lt;D xsi:type="xsd:double"&gt;4.83483173147148&lt;/D&gt;&lt;D xsi:type="xsd:double"&gt;4.58808375899594&lt;/D&gt;&lt;D xsi:type="xsd:double"&gt;5.12278937536332&lt;/D&gt;&lt;D xsi:type="xsd:double"&gt;5.04651954559516&lt;/D&gt;&lt;D xsi:type="xsd:double"&gt;5.26166798276473&lt;/D&gt;&lt;D xsi:type="xsd:double"&gt;4.95331142578113&lt;/D&gt;&lt;D xsi:type="xsd:double"&gt;4.75060344041658&lt;/D&gt;&lt;D xsi:type="xsd:double"&gt;4.63939778666884&lt;/D&gt;&lt;D xsi:type="xsd:double"&gt;4.79818898307692&lt;/D&gt;&lt;D xsi:type="xsd:double"&gt;5.42180010538772&lt;/D&gt;&lt;D xsi:type="xsd:double"&gt;6.94202324576581&lt;/D&gt;&lt;D xsi:type="xsd:double"&gt;7.43775996182497&lt;/D&gt;&lt;D xsi:type="xsd:double"&gt;7.5449476696829&lt;/D&gt;&lt;D xsi:type="xsd:double"&gt;6.61121928055052&lt;/D&gt;&lt;D xsi:type="xsd:double"&gt;7.19045338699775&lt;/D&gt;&lt;D xsi:type="xsd:double"&gt;9.07074871631861&lt;/D&gt;&lt;D xsi:type="xsd:double"&gt;8.69523290304445&lt;/D&gt;&lt;D xsi:type="xsd:double"&gt;8.10921110847059&lt;/D&gt;&lt;D xsi:type="xsd:double"&gt;7.90438632754865&lt;/D&gt;&lt;D xsi:type="xsd:double"&gt;8.9013597844244&lt;/D&gt;&lt;D xsi:type="xsd:double"&gt;7.99449698629497&lt;/D&gt;&lt;D xsi:type="xsd:double"&gt;7.23688009904983&lt;/D&gt;&lt;D xsi:type="xsd:double"&gt;6.99905364342405&lt;/D&gt;&lt;D xsi:type="xsd:double"&gt;6.17416097657913&lt;/D&gt;&lt;D xsi:type="xsd:double"&gt;6.15921311560247&lt;/D&gt;&lt;D xsi:type="xsd:double"&gt;6.62166456486589&lt;/D&gt;&lt;D xsi:type="xsd:double"&gt;6.78612946174159&lt;/D&gt;&lt;D xsi:type="xsd:double"&gt;6.70038100253395&lt;/D&gt;&lt;D xsi:type="xsd:double"&gt;6.69290323848562&lt;/D&gt;&lt;D xsi:type="xsd:double"&gt;7.16750395992547&lt;/D&gt;&lt;D xsi:type="xsd:double"&gt;6.63431689183753&lt;/D&gt;&lt;D xsi:type="xsd:double"&gt;7.13449032681395&lt;/D&gt;&lt;D xsi:type="xsd:double"&gt;6.93045823800979&lt;/D&gt;&lt;D xsi:type="xsd:double"&gt;5.10732827517992&lt;/D&gt;&lt;D xsi:type="xsd:double"&gt;5.31766664999972&lt;/D&gt;&lt;D xsi:type="xsd:double"&gt;5.32675032814945&lt;/D&gt;&lt;/FQL&gt;&lt;FQL&gt;&lt;Q&gt;EWT^FMA_PE(NTMA,-10AY,0,AM,"PORTAGG","MEANR")&lt;/Q&gt;&lt;R&gt;121&lt;/R&gt;&lt;C&gt;1&lt;/C&gt;&lt;D xsi:type="xsd:double"&gt;14.1473776493444&lt;/D&gt;&lt;D xsi:type="xsd:double"&gt;13.6824019003657&lt;/D&gt;&lt;D xsi:type="xsd:double"&gt;13.502462261098&lt;/D&gt;&lt;D xsi:type="xsd:double"&gt;12.3494110844001&lt;/D&gt;&lt;D xsi:type="xsd:double"&gt;13.0514081226179&lt;/D&gt;&lt;D xsi:type="xsd:double"&gt;12.7900072708299&lt;/D&gt;&lt;D xsi:type="xsd:double"&gt;12.4181559017914&lt;/D&gt;&lt;D xsi:type="xsd:double"&gt;12.8067561788342&lt;/D&gt;&lt;D xsi:type="xsd:double"&gt;12.9328680797647&lt;/D&gt;&lt;D xsi:type="xsd:double"&gt;12.5732470047976&lt;/D&gt;&lt;D xsi:type="xsd:double"&gt;12.9244100386328&lt;/D&gt;&lt;D xsi:type="xsd:double"&gt;12.4174236164617&lt;/D&gt;&lt;D xsi:type="xsd:double"&gt;12.2436583707326&lt;/D&gt;&lt;D xsi:type="xsd:double"&gt;11.2108264992707&lt;/D&gt;&lt;D xsi:type="xsd:double"&gt;11.949505909656&lt;/D&gt;&lt;D xsi:type="xsd:double"&gt;12.1640854906707&lt;/D&gt;&lt;D xsi:type="xsd:double"&gt;12.1096153225422&lt;/D&gt;&lt;D xsi:type="xsd:double"&gt;11.6785129964465&lt;/D&gt;&lt;D xsi:type="xsd:double"&gt;11.1802017708946&lt;/D&gt;&lt;D xsi:type="xsd:double"&gt;12.1698855246865&lt;/D&gt;&lt;D xsi:type="xsd:double"&gt;12.8889414181528&lt;/D&gt;&lt;D xsi:type="xsd:double"&gt;12.6178801284126&lt;/D&gt;&lt;D xsi:type="xsd:double"&gt;12.0517789550182&lt;/D&gt;&lt;D xsi:type="xsd:double"&gt;12.9619669784579&lt;/D&gt;&lt;D xsi:type="xsd:double"&gt;13.6201980419356&lt;/D&gt;&lt;D xsi:type="xsd:double"&gt;13.6027278169838&lt;/D&gt;&lt;D xsi:type="xsd:double"&gt;13.6666062523962&lt;/D&gt;&lt;D xsi:type="xsd:double"&gt;13.687502978345&lt;/D&gt;&lt;D xsi:type="xsd:double"&gt;12.9112055379911&lt;/D&gt;&lt;D xsi:type="xsd:double"&gt;12.9744203462205&lt;/D&gt;&lt;D xsi:type="xsd:double"&gt;12.9116633259685&lt;/D&gt;&lt;D xsi:type="xsd:double"&gt;13.1436216730994&lt;/D&gt;&lt;D xsi:type="xsd:double"&gt;13.2705692654972&lt;/D&gt;&lt;D xsi:type="xsd:double"&gt;12.8416986138611&lt;/D&gt;&lt;D xsi:type="xsd:double"&gt;13.2554788601374&lt;/D&gt;&lt;D xsi:type="xsd:double"&gt;13.7044206114868&lt;/D&gt;&lt;D xsi:type="xsd:double"&gt;14.1056855978177&lt;/D&gt;&lt;D xsi:type="xsd:double"&gt;13.8171545960909&lt;/D&gt;&lt;D xsi:type="xsd:double"&gt;13.7829293947897&lt;/D&gt;&lt;D xsi:type="xsd:double"&gt;13.7913396741801&lt;/D&gt;&lt;D xsi:type="xsd:double"&gt;13.7115955778349&lt;/D&gt;&lt;D xsi:type="xsd:double"&gt;13.0710271431711&lt;/D&gt;&lt;D xsi:type="xsd:double"&gt;13.9103948892233&lt;/D&gt;&lt;D xsi:type="xsd:double"&gt;12.9893898946064&lt;/D&gt;&lt;D xsi:type="xsd:double"&gt;13.7573842984882&lt;/D&gt;&lt;D xsi:type="xsd:double"&gt;13.6874593122339&lt;/D&gt;&lt;D xsi:type="xsd:double"&gt;13.4339822222204&lt;/D&gt;&lt;D xsi:type="xsd:double"&gt;13.3785768384681&lt;/D&gt;&lt;D xsi:type="xsd:double"&gt;13.2541491331472&lt;/D&gt;&lt;D xsi:type="xsd:double"&gt;13.1480772616211&lt;/D&gt;&lt;D xsi:type="xsd:double"&gt;13.0837488595272&lt;/D&gt;&lt;D xsi:type="xsd:double"&gt;12.0905250920743&lt;/D&gt;&lt;D xsi:type="xsd:double"&gt;12.3910989891637&lt;/D&gt;&lt;D xsi:type="xsd:double"&gt;12.4717837628396&lt;/D&gt;&lt;D xsi:type="xsd:double"&gt;13.2040545526891&lt;/D&gt;&lt;D xsi:type="xsd:double"&gt;13.9169991981914&lt;/D&gt;&lt;D xsi:type="xsd:double"&gt;14.594275908831&lt;/D&gt;&lt;D xsi:type="xsd:double"&gt;15.2193563899875&lt;/D&gt;&lt;D xsi:type="xsd:double"&gt;14.320059198635&lt;/D&gt;&lt;D xsi:type="xsd:double"&gt;15.0115298070292&lt;/D&gt;&lt;D xsi:type="xsd:double"&gt;15.0830477571453&lt;/D&gt;&lt;D xsi:type="xsd:double"&gt;14.5192586904246&lt;/D&gt;&lt;D xsi:type="xsd:double"&gt;15.2128008593853&lt;/D&gt;&lt;D xsi:type="xsd:double"&gt;15.2943473369108&lt;/D&gt;&lt;D xsi:type="xsd:double"&gt;15.8353242588213&lt;/D&gt;&lt;D xsi:type="xsd:double"&gt;15.8937832944272&lt;/D&gt;&lt;D xsi:type="xsd:double"&gt;15.5845474483354&lt;/D&gt;&lt;D xsi:type="xsd:double"&gt;15.070490286259&lt;/D&gt;&lt;D xsi:type="xsd:double"&gt;11.5227322717546&lt;/D&gt;&lt;D xsi:type="xsd:double"&gt;14.8051028021608&lt;/D&gt;&lt;D xsi:type="xsd:double"&gt;15.3026318970339&lt;/D&gt;&lt;D xsi:type="xsd:double"&gt;16.2400327460608&lt;/D&gt;&lt;D xsi:type="xsd:double"&gt;16.7119346199214&lt;/D&gt;&lt;D xsi:type="xsd:double"&gt;16.4839740775662&lt;/D&gt;&lt;D xsi:type="xsd:double"&gt;15.7165929700599&lt;/D&gt;&lt;D xsi:type="xsd:double"&gt;15.2388078407449&lt;/D&gt;&lt;D xsi:type="xsd:double"&gt;15.4943187292756&lt;/D&gt;&lt;D xsi:type="xsd:double"&gt;15.611758662966&lt;/D&gt;&lt;D xsi:type="xsd:double"&gt;16.8233432961111&lt;/D&gt;&lt;D xsi:type="xsd:double"&gt;16.1615612122519&lt;/D&gt;&lt;D xsi:type="xsd:double"&gt;15.3202708581861&lt;/D&gt;&lt;D xsi:type="xsd:double"&gt;15.3554684622398&lt;/D&gt;&lt;D xsi:type="xsd:double"&gt;13.1425666041697&lt;/D&gt;&lt;D xsi:type="xsd:double"&gt;13.8012377963667&lt;/D&gt;&lt;D xsi:type="xsd:double"&gt;13.8314685233463&lt;/D&gt;&lt;D xsi:type="xsd:double"&gt;12.4615540034928&lt;/D&gt;&lt;D xsi:type="xsd:double"&gt;13.1273858489583&lt;/D&gt;&lt;D xsi:type="xsd:double"&gt;12.7393100225487&lt;/D&gt;&lt;D xsi:type="xsd:double"&gt;13.475855147721&lt;/D&gt;&lt;D xsi:type="xsd:double"&gt;13.4053765972471&lt;/D&gt;&lt;D xsi:type="xsd:double"&gt;13.1425498816927&lt;/D&gt;&lt;D xsi:type="xsd:double"&gt;12.8756702051291&lt;/D&gt;&lt;D xsi:type="xsd:double"&gt;12.3314021448398&lt;/D&gt;&lt;D xsi:type="xsd:double"&gt;11.6640559427646&lt;/D&gt;&lt;D xsi:type="xsd:double"&gt;11.2811862038321&lt;/D&gt;&lt;D xsi:type="xsd:double"&gt;10.928864852716&lt;/D&gt;&lt;D xsi:type="xsd:double"&gt;10.2635634130558&lt;/D&gt;&lt;D xsi:type="xsd:double"&gt;11.2686192988852&lt;/D&gt;&lt;D xsi:type="xsd:double"&gt;10.76674147994&lt;/D&gt;&lt;D xsi:type="xsd:double"&gt;10.2670928012435&lt;/D&gt;&lt;D xsi:type="xsd:double"&gt;12.4636387000893&lt;/D&gt;&lt;D xsi:type="xsd:double"&gt;12.7386794298516&lt;/D&gt;&lt;D xsi:type="xsd:double"&gt;13.8386881823987&lt;/D&gt;&lt;D xsi:type="xsd:double"&gt;14.3110315899729&lt;/D&gt;&lt;D xsi:type="xsd:double"&gt;14.613434616395&lt;/D&gt;&lt;D xsi:type="xsd:double"&gt;14.8916448426624&lt;/D&gt;&lt;D xsi:type="xsd:double"&gt;15.8090338372792&lt;/D&gt;&lt;D xsi:type="xsd:double"&gt;16.6120077997019&lt;/D&gt;&lt;D xsi:type="xsd:double"&gt;16.5738978712696&lt;/D&gt;&lt;D xsi:type="xsd:double"&gt;15.7492749230553&lt;/D&gt;&lt;D xsi:type="xsd:double"&gt;15.6490394359964&lt;/D&gt;&lt;D xsi:type="xsd:double"&gt;15.1867294531919&lt;/D&gt;&lt;D xsi:type="xsd:double"&gt;15.645268361222&lt;/D&gt;&lt;D xsi:type="xsd:double"&gt;15.9230106655201&lt;/D&gt;&lt;D xsi:type="xsd:double"&gt;15.757880537353&lt;/D&gt;&lt;D xsi:type="xsd:double"&gt;16.3409521395709&lt;/D&gt;&lt;D xsi:type="xsd:double"&gt;17.2756622325469&lt;/D&gt;&lt;D xsi:type="xsd:double"&gt;16.4181780826184&lt;/D&gt;&lt;D xsi:type="xsd:double"&gt;17.7739247977898&lt;/D&gt;&lt;D xsi:type="xsd:double"&gt;18.2874773311801&lt;/D&gt;&lt;D xsi:type="xsd:double"&gt;18.2486520213211&lt;/D&gt;&lt;/FQL&gt;&lt;FQL&gt;&lt;Q&gt;INDA^FMA_PE(LTMA,-10AY,0,AM,"PORTAGG","MEANR")&lt;/Q&gt;&lt;R&gt;121&lt;/R&gt;&lt;C&gt;1&lt;/C&gt;&lt;D xsi:type="xsd:double"&gt;17.2273349734471&lt;/D&gt;&lt;D xsi:type="xsd:double"&gt;17.6106991970516&lt;/D&gt;&lt;D xsi:type="xsd:double"&gt;18.0478803183596&lt;/D&gt;&lt;D xsi:type="xsd:double"&gt;17.6018228981549&lt;/D&gt;&lt;D xsi:type="xsd:double"&gt;19.180377934908&lt;/D&gt;&lt;D xsi:type="xsd:double"&gt;19.0013876336942&lt;/D&gt;&lt;D xsi:type="xsd:double"&gt;19.8716776123964&lt;/D&gt;&lt;D xsi:type="xsd:double"&gt;21.2466840027827&lt;/D&gt;&lt;D xsi:type="xsd:double"&gt;20.8676941953684&lt;/D&gt;&lt;D xsi:type="xsd:double"&gt;20.6955042195641&lt;/D&gt;&lt;D xsi:type="xsd:double"&gt;20.3823096501144&lt;/D&gt;&lt;D xsi:type="xsd:double"&gt;20.2178091973017&lt;/D&gt;&lt;D xsi:type="xsd:double"&gt;21.0230279546586&lt;/D&gt;&lt;D xsi:type="xsd:double"&gt;21.3042094347887&lt;/D&gt;&lt;D xsi:type="xsd:double"&gt;20.4500108632887&lt;/D&gt;&lt;D xsi:type="xsd:double"&gt;20.8599097328905&lt;/D&gt;&lt;D xsi:type="xsd:double"&gt;20.1109443623469&lt;/D&gt;&lt;D xsi:type="xsd:double"&gt;20.195498583959&lt;/D&gt;&lt;D xsi:type="xsd:double"&gt;19.2336898014783&lt;/D&gt;&lt;D xsi:type="xsd:double"&gt;19.3850790956093&lt;/D&gt;&lt;D xsi:type="xsd:double"&gt;18.9428546479608&lt;/D&gt;&lt;D xsi:type="xsd:double"&gt;19.0080680831646&lt;/D&gt;&lt;D xsi:type="xsd:double"&gt;18.8508001105946&lt;/D&gt;&lt;D xsi:type="xsd:double"&gt;19.054380605764&lt;/D&gt;&lt;D xsi:type="xsd:double"&gt;19.481576764317&lt;/D&gt;&lt;D xsi:type="xsd:double"&gt;19.7158347071417&lt;/D&gt;&lt;D xsi:type="xsd:double"&gt;19.8185762410811&lt;/D&gt;&lt;D xsi:type="xsd:double"&gt;19.7966886183978&lt;/D&gt;&lt;D xsi:type="xsd:double"&gt;18.6101432778257&lt;/D&gt;&lt;D xsi:type="xsd:double"&gt;18.8446052162075&lt;/D&gt;&lt;D xsi:type="xsd:double"&gt;19.4449783662786&lt;/D&gt;&lt;D xsi:type="xsd:double"&gt;20.4333526678025&lt;/D&gt;&lt;D xsi:type="xsd:double"&gt;20.5095130501864&lt;/D&gt;&lt;D xsi:type="xsd:double"&gt;20.3331439018808&lt;/D&gt;&lt;D xsi:type="xsd:double"&gt;20.3513213763575&lt;/D&gt;&lt;D xsi:type="xsd:double"&gt;20.357096158964&lt;/D&gt;&lt;D xsi:type="xsd:double"&gt;20.7412730371234&lt;/D&gt;&lt;D xsi:type="xsd:double"&gt;20.7588411089339&lt;/D&gt;&lt;D xsi:type="xsd:double"&gt;21.3295786139398&lt;/D&gt;&lt;D xsi:type="xsd:double"&gt;21.3247981959895&lt;/D&gt;&lt;D xsi:type="xsd:double"&gt;21.6969936294441&lt;/D&gt;&lt;D xsi:type="xsd:double"&gt;22.3583602725579&lt;/D&gt;&lt;D xsi:type="xsd:double"&gt;23.1428718686301&lt;/D&gt;&lt;D xsi:type="xsd:double"&gt;21.7379853082338&lt;/D&gt;&lt;D xsi:type="xsd:double"&gt;21.4512929436243&lt;/D&gt;&lt;D xsi:type="xsd:double"&gt;21.4140201615895&lt;/D&gt;&lt;D xsi:type="xsd:double"&gt;21.0742105123916&lt;/D&gt;&lt;D xsi:type="xsd:double"&gt;21.2276623455182&lt;/D&gt;&lt;D xsi:type="xsd:double"&gt;21.2152180461456&lt;/D&gt;&lt;D xsi:type="xsd:double"&gt;22.1263316730634&lt;/D&gt;&lt;D xsi:type="xsd:double"&gt;21.9619331897935&lt;/D&gt;&lt;D xsi:type="xsd:double"&gt;20.28101366543&lt;/D&gt;&lt;D xsi:type="xsd:double"&gt;21.5254901423935&lt;/D&gt;&lt;D xsi:type="xsd:double"&gt;21.9013149163919&lt;/D&gt;&lt;D xsi:type="xsd:double"&gt;21.5603648860277&lt;/D&gt;&lt;D xsi:type="xsd:double"&gt;21.0791975055053&lt;/D&gt;&lt;D xsi:type="xsd:double"&gt;21.7465963452591&lt;/D&gt;&lt;D xsi:type="xsd:double"&gt;21.572625805931&lt;/D&gt;&lt;D xsi:type="xsd:double"&gt;21.307190913606&lt;/D&gt;&lt;D xsi:type="xsd:double"&gt;21.3575166110921&lt;/D&gt;&lt;D xsi:type="xsd:double"&gt;21.1404695314115&lt;/D&gt;&lt;D xsi:type="xsd:double"&gt;21.052666542372&lt;/D&gt;&lt;D xsi:type="xsd:double"&gt;20.700061725032&lt;/D&gt;&lt;D xsi:type="xsd:double"&gt;21.8307187634848&lt;/D&gt;&lt;D xsi:type="xsd:double"&gt;23.1471495960412&lt;/D&gt;&lt;D xsi:type="xsd:double"&gt;23.4076547125299&lt;/D&gt;&lt;D xsi:type="xsd:double"&gt;23.8106254331154&lt;/D&gt;&lt;D xsi:type="xsd:double"&gt;23.3408962509711&lt;/D&gt;&lt;D xsi:type="xsd:double"&gt;20.1207760890424&lt;/D&gt;&lt;D xsi:type="xsd:double"&gt;20.6017634508736&lt;/D&gt;&lt;D xsi:type="xsd:double"&gt;20.9693631598881&lt;/D&gt;&lt;D xsi:type="xsd:double"&gt;23.05897119769&lt;/D&gt;&lt;D xsi:type="xsd:double"&gt;24.4380668502263&lt;/D&gt;&lt;D xsi:type="xsd:double"&gt;25.6453643867377&lt;/D&gt;&lt;D xsi:type="xsd:double"&gt;26.1105728140941&lt;/D&gt;&lt;D xsi:type="xsd:double"&gt;26.7889981658817&lt;/D&gt;&lt;D xsi:type="xsd:double"&gt;27.1808390130661&lt;/D&gt;&lt;D xsi:type="xsd:double"&gt;32.8076959651829&lt;/D&gt;&lt;D xsi:type="xsd:double"&gt;33.9187470128919&lt;/D&gt;&lt;D xsi:type="xsd:double"&gt;32.2782741720342&lt;/D&gt;&lt;D xsi:type="xsd:double"&gt;30.6975680623609&lt;/D&gt;&lt;D xsi:type="xsd:double"&gt;29.7822164610728&lt;/D&gt;&lt;D xsi:type="xsd:double"&gt;29.4027042667195&lt;/D&gt;&lt;D xsi:type="xsd:double"&gt;29.1707317115857&lt;/D&gt;&lt;D xsi:type="xsd:double"&gt;28.6206151378192&lt;/D&gt;&lt;D xsi:type="xsd:double"&gt;28.9487413035877&lt;/D&gt;&lt;D xsi:type="xsd:double"&gt;29.591616812761&lt;/D&gt;&lt;D xsi:type="xsd:double"&gt;29.8263593117472&lt;/D&gt;&lt;D xsi:type="xsd:double"&gt;28.8798779917905&lt;/D&gt;&lt;D xsi:type="xsd:double"&gt;28.0797946874242&lt;/D&gt;&lt;D xsi:type="xsd:double"&gt;29.0322290227596&lt;/D&gt;&lt;D xsi:type="xsd:double"&gt;27.272674928349&lt;/D&gt;&lt;D xsi:type="xsd:double"&gt;26.3329208345402&lt;/D&gt;&lt;D xsi:type="xsd:double"&gt;25.8967573361602&lt;/D&gt;&lt;D xsi:type="xsd:double"&gt;24.8981822996572&lt;/D&gt;&lt;D xsi:type="xsd:double"&gt;24.2286239841539&lt;/D&gt;&lt;D xsi:type="xsd:double"&gt;24.5887020193987&lt;/D&gt;&lt;D xsi:type="xsd:double"&gt;25.8966040429313&lt;/D&gt;&lt;D xsi:type="xsd:double"&gt;25.6295599796416&lt;/D&gt;&lt;D xsi:type="xsd:double"&gt;25.2581252858758&lt;/D&gt;&lt;D xsi:type="xsd:double"&gt;26.1933318314964&lt;/D&gt;&lt;D xsi:type="xsd:double"&gt;26.6214952547471&lt;/D&gt;&lt;D xsi:type="xsd:double"&gt;25.8011551183452&lt;/D&gt;&lt;D xsi:type="xsd:double"&gt;25.1283307297312&lt;/D&gt;&lt;D xsi:type="xsd:double"&gt;23.9197589289379&lt;/D&gt;&lt;D xsi:type="xsd:double"&gt;23.7082823066772&lt;/D&gt;&lt;D xsi:type="xsd:double"&gt;23.7814674648828&lt;/D&gt;&lt;D xsi:type="xsd:double"&gt;24.1146063548766&lt;/D&gt;&lt;D xsi:type="xsd:double"&gt;24.2997689565145&lt;/D&gt;&lt;D xsi:type="xsd:double"&gt;23.5769741796204&lt;/D&gt;&lt;D xsi:type="xsd:double"&gt;23.9484221443001&lt;/D&gt;&lt;D xsi:type="xsd:double"&gt;23.5303475252445&lt;/D&gt;&lt;D xsi:type="xsd:double"&gt;23.5450766346632&lt;/D&gt;&lt;D xsi:type="xsd:double"&gt;25.463470457843&lt;/D&gt;&lt;D xsi:type="xsd:double"&gt;25.8961788298286&lt;/D&gt;&lt;D xsi:type="xsd:double"&gt;26.3826492022873&lt;/D&gt;&lt;D xsi:type="xsd:double"&gt;25.8819129125173&lt;/D&gt;&lt;D xsi:type="xsd:double"&gt;25.7029610632322&lt;/D&gt;&lt;D xsi:type="xsd:double"&gt;25.671232705434&lt;/D&gt;&lt;D xsi:type="xsd:double"&gt;26.0093214359831&lt;/D&gt;&lt;D xsi:type="xsd:double"&gt;26.3989077460062&lt;/D&gt;&lt;/FQL&gt;&lt;FQL&gt;&lt;Q&gt;DDR3512M-FDS^FG_PRICE(0)/MAX(FG_PRICE(0,-1AY))&lt;/Q&gt;&lt;R&gt;1&lt;/R&gt;&lt;C&gt;1&lt;/C&gt;&lt;D xsi:type="xsd:double"&gt;0.884615384615385&lt;/D&gt;&lt;/FQL&gt;&lt;FQL&gt;&lt;Q&gt;PASP-FDS^FG_PRICE(0)/MAX(FG_PRICE(0,-1AY))&lt;/Q&gt;&lt;R&gt;1&lt;/R&gt;&lt;C&gt;1&lt;/C&gt;&lt;D xsi:type="xsd:double"&gt;0.716417910447761&lt;/D&gt;&lt;/FQL&gt;&lt;FQL&gt;&lt;Q&gt;PLATI-FDS^FG_PRICE(0)/MAX(FG_PRICE(0,-1AY))&lt;/Q&gt;&lt;R&gt;1&lt;/R&gt;&lt;C&gt;1&lt;/C&gt;&lt;D xsi:type="xsd:double"&gt;0.935453695042095&lt;/D&gt;&lt;/FQL&gt;&lt;FQL&gt;&lt;Q&gt;W-FDS^FG_PRICE(0)/MAX(FG_PRICE(0,-1AY))&lt;/Q&gt;&lt;R&gt;1&lt;/R&gt;&lt;C&gt;1&lt;/C&gt;&lt;D xsi:type="xsd:double"&gt;0.713909898059849&lt;/D&gt;&lt;/FQL&gt;&lt;FQL&gt;&lt;Q&gt;COPP-FDS^FG_PRICE(0)/MAX(FG_PRICE(0,-1AY))&lt;/Q&gt;&lt;R&gt;1&lt;/R&gt;&lt;C&gt;1&lt;/C&gt;&lt;D xsi:type="xsd:double"&gt;0.824184411017777&lt;/D&gt;&lt;/FQL&gt;&lt;FQL&gt;&lt;Q&gt;FC0000SA^FG_PRICE(0)&lt;/Q&gt;&lt;R&gt;1&lt;/R&gt;&lt;C&gt;1&lt;/C&gt;&lt;D xsi:type="xsd:double"&gt;49.14888&lt;/D&gt;&lt;/FQL&gt;&lt;FQL&gt;&lt;Q&gt;SET-BKK^FG_PRICE(0)&lt;/Q&gt;&lt;R&gt;1&lt;/R&gt;&lt;C&gt;1&lt;/C&gt;&lt;D xsi:type="xsd:double"&gt;1317.14&lt;/D&gt;&lt;/FQL&gt;&lt;FQL&gt;&lt;Q&gt;FC0000GR^FG_PRICE(0)&lt;/Q&gt;&lt;R&gt;1&lt;/R&gt;&lt;C&gt;1&lt;/C&gt;&lt;D xsi:type="xsd:double"&gt;9.935695&lt;/D&gt;&lt;/FQL&gt;&lt;FQL&gt;&lt;Q&gt;FC0000MX^FG_PRICE(0)&lt;/Q&gt;&lt;R&gt;1&lt;/R&gt;&lt;C&gt;1&lt;/C&gt;&lt;D xsi:type="xsd:double"&gt;477.20877&lt;/D&gt;&lt;/FQL&gt;&lt;FQL&gt;&lt;Q&gt;FC0000PL^FG_PRICE(0)&lt;/Q&gt;&lt;R&gt;1&lt;/R&gt;&lt;C&gt;1&lt;/C&gt;&lt;D xsi:type="xsd:double"&gt;215.95464&lt;/D&gt;&lt;/FQL&gt;&lt;FQL&gt;&lt;Q&gt;FC0000CN^FG_PRICE(0)&lt;/Q&gt;&lt;R&gt;1&lt;/R&gt;&lt;C&gt;1&lt;/C&gt;&lt;D xsi:type="xsd:double"&gt;234.25064&lt;/D&gt;&lt;/FQL&gt;&lt;FQL&gt;&lt;Q&gt;TUR^FG_PRICE_MAVG(0,,,,60)&lt;/Q&gt;&lt;R&gt;1&lt;/R&gt;&lt;C&gt;1&lt;/C&gt;&lt;D xsi:type="xsd:double"&gt;41.898834&lt;/D&gt;&lt;/FQL&gt;&lt;FQL&gt;&lt;Q&gt;INDA^FG_PRICE_MAVG(0,,,,60)&lt;/Q&gt;&lt;R&gt;1&lt;/R&gt;&lt;C&gt;1&lt;/C&gt;&lt;D xsi:type="xsd:double"&gt;54.2095&lt;/D&gt;&lt;/FQL&gt;&lt;FQL&gt;&lt;Q&gt;EWY^FG_PRICE_MAVG(0,,,,60)&lt;/Q&gt;&lt;R&gt;1&lt;/R&gt;&lt;C&gt;1&lt;/C&gt;&lt;D xsi:type="xsd:double"&gt;65.2585&lt;/D&gt;&lt;/FQL&gt;&lt;FQL&gt;&lt;Q&gt;EPU^FG_PRICE_MAVG(0,,,,60)&lt;/Q&gt;&lt;R&gt;1&lt;/R&gt;&lt;C&gt;1&lt;/C&gt;&lt;D xsi:type="xsd:double"&gt;41.768944&lt;/D&gt;&lt;/FQL&gt;&lt;FQL&gt;&lt;Q&gt;ECH^FG_PRICE_MAVG(0,,,,60)&lt;/Q&gt;&lt;R&gt;1&lt;/R&gt;&lt;C&gt;1&lt;/C&gt;&lt;D xsi:type="xsd:double"&gt;27.342&lt;/D&gt;&lt;/FQL&gt;&lt;FQL&gt;&lt;Q&gt;VNM^FG_TOTAL_RETURNC(0,-12AM)&lt;/Q&gt;&lt;R&gt;1&lt;/R&gt;&lt;C&gt;1&lt;/C&gt;&lt;D xsi:type="xsd:double"&gt;-8.986181&lt;/D&gt;&lt;/FQL&gt;&lt;FQL&gt;&lt;Q&gt;UAE^PERCENT_CHANGE(FMA_EPS(+1,0,,,,"PORTAGG","MEAN"),FMA_EPS(+1,-1AM,,,,"PORTAGG","MEAN"))&lt;/Q&gt;&lt;R&gt;1&lt;/R&gt;&lt;C&gt;1&lt;/C&gt;&lt;D xsi:type="xsd:double"&gt;-0.409054411325159&lt;/D&gt;&lt;/FQL&gt;&lt;FQL&gt;&lt;Q&gt;SET-BKK^FG_TOTAL_RETURNC(0,-1AM)&lt;/Q&gt;&lt;R&gt;1&lt;/R&gt;&lt;C&gt;1&lt;/C&gt;&lt;D xsi:type="xsd:double"&gt;1.0216236&lt;/D&gt;&lt;/FQL&gt;&lt;FQL&gt;&lt;Q&gt;MCHI^FG_TOTAL_RETURNC(0,-6AM)&lt;/Q&gt;&lt;R&gt;1&lt;/R&gt;&lt;C&gt;1&lt;/C&gt;&lt;D xsi:type="xsd:double"&gt;13.944149&lt;/D&gt;&lt;/FQL&gt;&lt;FQL&gt;&lt;Q&gt;GREK^P_PRICE(0)/P_PRICE_LOW_PR(0,,,,,,"PRICE","INTRA","52W")-1&lt;/Q&gt;&lt;R&gt;1&lt;/R&gt;&lt;C&gt;1&lt;/C&gt;&lt;D xsi:type="xsd:double"&gt;0.37854135&lt;/D&gt;&lt;/FQL&gt;&lt;FQL&gt;&lt;Q&gt;EZA^FMA_PCT_ABOVE_MAVG(200,0,,,,"PORTAGG")&lt;/Q&gt;&lt;R&gt;1&lt;/R&gt;&lt;C&gt;1&lt;/C&gt;&lt;D xsi:type="xsd:double"&gt;66.6666666666667&lt;/D&gt;&lt;/FQL&gt;&lt;FQL&gt;&lt;Q&gt;EWY^PERCENT_CHANGE(FMA_EPS(+1,0,,,,"PORTAGG","MEAN"),FMA_EPS(+1,-3AM,,,,"PORTAGG","MEAN"))&lt;/Q&gt;&lt;R&gt;1&lt;/R&gt;&lt;C&gt;1&lt;/C&gt;&lt;D xsi:type="xsd:double"&gt;6.73453827229429&lt;/D&gt;&lt;/FQL&gt;&lt;FQL&gt;&lt;Q&gt;EWT^FG_TOTAL_RETURNC(0,-3AM)&lt;/Q&gt;&lt;R&gt;1&lt;/R&gt;&lt;C&gt;1&lt;/C&gt;&lt;D xsi:type="xsd:double"&gt;16.254652&lt;/D&gt;&lt;/FQL&gt;&lt;FQL&gt;&lt;Q&gt;EPU^P_PRICE(0)/P_PRICE_HIGH_PR(0,,,,,,"PRICE","INTRA","52W")&lt;/Q&gt;&lt;R&gt;1&lt;/R&gt;&lt;C&gt;1&lt;/C&gt;&lt;D xsi:type="xsd:double"&gt;0.9121637&lt;/D&gt;&lt;/FQL&gt;&lt;FQL&gt;&lt;Q&gt;EPHE^FG_TOTAL_RETURNC(0,-12AM)&lt;/Q&gt;&lt;R&gt;1&lt;/R&gt;&lt;C&gt;1&lt;/C&gt;&lt;D xsi:type="xsd:double"&gt;-2.388996&lt;/D&gt;&lt;/FQL&gt;&lt;FQL&gt;&lt;Q&gt;EIDO^PERCENT_CHANGE(FMA_EPS(+1,0,,,,"PORTAGG","MEAN"),FMA_EPS(+1,-1AM,,,,"PORTAGG","MEAN"))&lt;/Q&gt;&lt;R&gt;1&lt;/R&gt;&lt;C&gt;1&lt;/C&gt;&lt;D xsi:type="xsd:double"&gt;2.22640562543415&lt;/D&gt;&lt;/FQL&gt;&lt;FQL&gt;&lt;Q&gt;DUMMY^ECON_EXPR_DATA('FDS_ECON[PMIDMMANHE]',,,M)&lt;/Q&gt;&lt;R&gt;1&lt;/R&gt;&lt;C&gt;1&lt;/C&gt;&lt;D xsi:type="xsd:double"&gt;49.659245&lt;/D&gt;&lt;/FQL&gt;&lt;FQL&gt;&lt;Q&gt;EPU^FMA_ROE(NTMA,-20AY,NOW,FY,"PORTAGG","MEANR")&lt;/Q&gt;&lt;R&gt;20&lt;/R&gt;&lt;C&gt;1&lt;/C&gt;&lt;D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xsi:type="xsd:double"&gt;21.6487924933022&lt;/D&gt;&lt;D xsi:type="xsd:double"&gt;26.674075406927&lt;/D&gt;&lt;D xsi:type="xsd:double"&gt;23.3940784657959&lt;/D&gt;&lt;D xsi:type="xsd:double"&gt;19.9442083003203&lt;/D&gt;&lt;D xsi:type="xsd:double"&gt;14.2295976118279&lt;/D&gt;&lt;D xsi:type="xsd:double"&gt;12.7121203643147&lt;/D&gt;&lt;D xsi:type="xsd:double"&gt;8.83035011509517&lt;/D&gt;&lt;D xsi:type="xsd:double"&gt;12.5824807721625&lt;/D&gt;&lt;D xsi:type="xsd:double"&gt;12.1461987185301&lt;/D&gt;&lt;D xsi:type="xsd:double"&gt;10.92253300719&lt;/D&gt;&lt;D xsi:type="xsd:double"&gt;11.9146021952872&lt;/D&gt;&lt;D xsi:type="xsd:double"&gt;12.0860263580498&lt;/D&gt;&lt;D xsi:type="xsd:double"&gt;15.0555657723641&lt;/D&gt;&lt;D xsi:type="xsd:double"&gt;13.6225814449299&lt;/D&gt;&lt;D xsi:type="xsd:double"&gt;12.9324474268757&lt;/D&gt;&lt;/FQL&gt;&lt;FQL&gt;&lt;Q&gt;TRYIN10Y-FDS^FG_YIELD(-10AY,0,Y,,"YTM")&lt;/Q&gt;&lt;R&gt;10&lt;/R&gt;&lt;C&gt;1&lt;/C&gt;&lt;D xsi:type="xsd:double"&gt;7.86&lt;/D&gt;&lt;D xsi:type="xsd:double"&gt;7.89&lt;/D&gt;&lt;D xsi:type="xsd:double"&gt;6.63&lt;/D&gt;&lt;D xsi:type="xsd:double"&gt;7.35&lt;/D&gt;&lt;D xsi:type="xsd:double"&gt;7.35&lt;/D&gt;&lt;D xsi:type="xsd:double"&gt;6.55&lt;/D&gt;&lt;D xsi:type="xsd:double"&gt;5.9&lt;/D&gt;&lt;D xsi:type="xsd:double"&gt;6.45&lt;/D&gt;&lt;D xsi:type="xsd:double"&gt;7.33&lt;/D&gt;&lt;D xsi:type="xsd:double"&gt;7.19&lt;/D&gt;&lt;/FQL&gt;&lt;FQL&gt;&lt;Q&gt;TRYGR10Y-FDS^FG_YIELD(-10AY,0,Y,,"YTM")&lt;/Q&gt;&lt;R&gt;10&lt;/R&gt;&lt;C&gt;1&lt;/C&gt;&lt;D xsi:type="xsd:double"&gt;9.61&lt;/D&gt;&lt;D xsi:type="xsd:double"&gt;8.24&lt;/D&gt;&lt;D xsi:type="xsd:double"&gt;7.15&lt;/D&gt;&lt;D xsi:type="xsd:double"&gt;4.14&lt;/D&gt;&lt;D xsi:type="xsd:double"&gt;4.37&lt;/D&gt;&lt;D xsi:type="xsd:double"&gt;1.45&lt;/D&gt;&lt;D xsi:type="xsd:double"&gt;0.618&lt;/D&gt;&lt;D xsi:type="xsd:double"&gt;1.315&lt;/D&gt;&lt;D xsi:type="xsd:double"&gt;4.585&lt;/D&gt;&lt;D xsi:type="xsd:double"&gt;3.099&lt;/D&gt;&lt;/FQL&gt;&lt;FQL&gt;&lt;Q&gt;CAGDPY@CN^EE_ACTUAL_ANNUAL(MED,0)&lt;/Q&gt;&lt;R&gt;1&lt;/R&gt;&lt;C&gt;1&lt;/C&gt;&lt;D xsi:type="xsd:double"&gt;1.41410583295463&lt;/D&gt;&lt;/FQL&gt;&lt;FQL&gt;&lt;Q&gt;CAGDPY@MY^EE_ACTUAL_ANNUAL(MED,0)&lt;/Q&gt;&lt;R&gt;1&lt;/R&gt;&lt;C&gt;1&lt;/C&gt;&lt;D xsi:type="xsd:double"&gt;1.54713940757014&lt;/D&gt;&lt;/FQL&gt;&lt;FQL&gt;&lt;Q&gt;CC_TR^FG_COMPANY_NAME&lt;/Q&gt;&lt;R&gt;1&lt;/R&gt;&lt;C&gt;1&lt;/C&gt;&lt;D xsi:type="xsd:string"&gt;Turkey&lt;/D&gt;&lt;/FQL&gt;&lt;FQL&gt;&lt;Q&gt;CC_CL^FG_COMPANY_NAME&lt;/Q&gt;&lt;R&gt;1&lt;/R&gt;&lt;C&gt;1&lt;/C&gt;&lt;D xsi:type="xsd:string"&gt;Chile&lt;/D&gt;&lt;/FQL&gt;&lt;FQL&gt;&lt;Q&gt;USDVND^FG_PRICE(0)&lt;/Q&gt;&lt;R&gt;1&lt;/R&gt;&lt;C&gt;1&lt;/C&gt;&lt;D xsi:type="xsd:double"&gt;25325&lt;/D&gt;&lt;/FQL&gt;&lt;FQL&gt;&lt;Q&gt;USDTRY^FG_PRICE(0)&lt;/Q&gt;&lt;R&gt;1&lt;/R&gt;&lt;C&gt;1&lt;/C&gt;&lt;D xsi:type="xsd:double"&gt;33.05775&lt;/D&gt;&lt;/FQL&gt;&lt;FQL&gt;&lt;Q&gt;USDQAR^FG_PRICE(0)&lt;/Q&gt;&lt;R&gt;1&lt;/R&gt;&lt;C&gt;1&lt;/C&gt;&lt;D xsi:type="xsd:double"&gt;3.641&lt;/D&gt;&lt;/FQL&gt;&lt;FQL&gt;&lt;Q&gt;USDINR^FG_PRICE(0)&lt;/Q&gt;&lt;R&gt;1&lt;/R&gt;&lt;C&gt;1&lt;/C&gt;&lt;D xsi:type="xsd:double"&gt;83.6625&lt;/D&gt;&lt;/FQL&gt;&lt;FQL&gt;&lt;Q&gt;USDZAR^FG_PRICE(0)&lt;/Q&gt;&lt;R&gt;1&lt;/R&gt;&lt;C&gt;1&lt;/C&gt;&lt;D xsi:type="xsd:double"&gt;18.2844&lt;/D&gt;&lt;/FQL&gt;&lt;FQL&gt;&lt;Q&gt;USDKRW^FG_PRICE(0)&lt;/Q&gt;&lt;R&gt;1&lt;/R&gt;&lt;C&gt;1&lt;/C&gt;&lt;D xsi:type="xsd:double"&gt;1386.8&lt;/D&gt;&lt;/FQL&gt;&lt;FQL&gt;&lt;Q&gt;USDTWD^FG_PRICE(0)&lt;/Q&gt;&lt;R&gt;1&lt;/R&gt;&lt;C&gt;1&lt;/C&gt;&lt;D xsi:type="xsd:double"&gt;32.7185&lt;/D&gt;&lt;/FQL&gt;&lt;FQL&gt;&lt;Q&gt;USDPEN^FG_PRICE(0)&lt;/Q&gt;&lt;R&gt;1&lt;/R&gt;&lt;C&gt;1&lt;/C&gt;&lt;D xsi:type="xsd:double"&gt;3.7411&lt;/D&gt;&lt;/FQL&gt;&lt;FQL&gt;&lt;Q&gt;USDPHP^FG_PRICE(0)&lt;/Q&gt;&lt;R&gt;1&lt;/R&gt;&lt;C&gt;1&lt;/C&gt;&lt;D xsi:type="xsd:double"&gt;58.345&lt;/D&gt;&lt;/FQL&gt;&lt;FQL&gt;&lt;Q&gt;KSA^FMA_ROE(NTMA,-20AY,NOW,FY,"PORTAGG","MEANR")&lt;/Q&gt;&lt;R&gt;20&lt;/R&gt;&lt;C&gt;1&lt;/C&gt;&lt;D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xsi:type="xsd:double"&gt;12.9007124779981&lt;/D&gt;&lt;D xsi:type="xsd:double"&gt;11.3294751772354&lt;/D&gt;&lt;D xsi:type="xsd:double"&gt;11.9967853551854&lt;/D&gt;&lt;D xsi:type="xsd:doubl</t>
        </r>
      </text>
    </comment>
    <comment ref="A3" authorId="0" shapeId="0" xr:uid="{348A5AC9-CB0B-41E8-9B37-982FEE705EB2}">
      <text>
        <r>
          <rPr>
            <b/>
            <sz val="9"/>
            <color indexed="81"/>
            <rFont val="Tahoma"/>
            <charset val="1"/>
          </rPr>
          <t>e"&gt;12.1701096511068&lt;/D&gt;&lt;D xsi:type="xsd:double"&gt;11.2305559835714&lt;/D&gt;&lt;D xsi:type="xsd:double"&gt;10.1469870702335&lt;/D&gt;&lt;D xsi:type="xsd:double"&gt;12.7997878100329&lt;/D&gt;&lt;D xsi:type="xsd:double"&gt;13.7783180309653&lt;/D&gt;&lt;D xsi:type="xsd:double"&gt;11.758331061377&lt;/D&gt;&lt;/FQL&gt;&lt;FQL&gt;&lt;Q&gt;EPOL^FMA_ROE(NTMA,-20AY,NOW,FY,"PORTAGG","MEANR")&lt;/Q&gt;&lt;R&gt;20&lt;/R&gt;&lt;C&gt;1&lt;/C&gt;&lt;D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xsi:type="xsd:double"&gt;12.9136409385463&lt;/D&gt;&lt;D xsi:type="xsd:double"&gt;11.6682069956937&lt;/D&gt;&lt;D xsi:type="xsd:double"&gt;9.88095297355163&lt;/D&gt;&lt;D xsi:type="xsd:double"&gt;9.32819662687838&lt;/D&gt;&lt;D xsi:type="xsd:double"&gt;9.08400416739547&lt;/D&gt;&lt;D xsi:type="xsd:double"&gt;8.19593899535384&lt;/D&gt;&lt;D xsi:type="xsd:double"&gt;8.81992527720217&lt;/D&gt;&lt;D xsi:type="xsd:double"&gt;10.5838129179285&lt;/D&gt;&lt;D xsi:type="xsd:double"&gt;10.2657999868947&lt;/D&gt;&lt;D xsi:type="xsd:double"&gt;9.4389843194853&lt;/D&gt;&lt;D xsi:type="xsd:double"&gt;7.20768650788903&lt;/D&gt;&lt;D xsi:type="xsd:double"&gt;10.1460102201106&lt;/D&gt;&lt;D xsi:type="xsd:double"&gt;10.9641857238333&lt;/D&gt;&lt;D xsi:type="xsd:double"&gt;12.3945793275799&lt;/D&gt;&lt;/FQL&gt;&lt;FQL&gt;&lt;Q&gt;TRYQA10Y-FDS^FG_YIELD(-10AY,0,Y,,"YTM")&lt;/Q&gt;&lt;R&gt;10&lt;/R&gt;&lt;C&gt;1&lt;/C&gt;&lt;D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xsi:type="xsd:string"&gt;@NA&lt;/D&gt;&lt;/FQL&gt;&lt;FQL&gt;&lt;Q&gt;TRYCH10Y-FDS^FG_YIELD(-10AY,0,Y,,"YTM")&lt;/Q&gt;&lt;R&gt;10&lt;/R&gt;&lt;C&gt;1&lt;/C&gt;&lt;D xsi:type="xsd:double"&gt;0.314&lt;/D&gt;&lt;D xsi:type="xsd:string"&gt;@NA&lt;/D&gt;&lt;D xsi:type="xsd:double"&gt;-0.12&lt;/D&gt;&lt;D xsi:type="xsd:double"&gt;-0.09&lt;/D&gt;&lt;D xsi:type="xsd:double"&gt;-0.176&lt;/D&gt;&lt;D xsi:type="xsd:double"&gt;-0.434&lt;/D&gt;&lt;D xsi:type="xsd:double"&gt;-0.49&lt;/D&gt;&lt;D xsi:type="xsd:double"&gt;-0.111&lt;/D&gt;&lt;D xsi:type="xsd:double"&gt;1.617&lt;/D&gt;&lt;D xsi:type="xsd:double"&gt;0.703&lt;/D&gt;&lt;/FQL&gt;&lt;FQL&gt;&lt;Q&gt;CAGDPY@IN^EE_ACTUAL_ANNUAL(MED,+1)&lt;/Q&gt;&lt;R&gt;1&lt;/R&gt;&lt;C&gt;1&lt;/C&gt;&lt;D xsi:type="xsd:double"&gt;-1.2&lt;/D&gt;&lt;/FQL&gt;&lt;FQL&gt;&lt;Q&gt;CAGDPY@PE^EE_ACTUAL_ANNUAL(MED,+1)&lt;/Q&gt;&lt;R&gt;1&lt;/R&gt;&lt;C&gt;1&lt;/C&gt;&lt;D xsi:type="xsd:double"&gt;-0.65&lt;/D&gt;&lt;/FQL&gt;&lt;FQL&gt;&lt;Q&gt;CC_TH^FG_COMPANY_NAME&lt;/Q&gt;&lt;R&gt;1&lt;/R&gt;&lt;C&gt;1&lt;/C&gt;&lt;D xsi:type="xsd:string"&gt;Thailand&lt;/D&gt;&lt;/FQL&gt;&lt;FQL&gt;&lt;Q&gt;CC_CN^FG_COMPANY_NAME&lt;/Q&gt;&lt;R&gt;1&lt;/R&gt;&lt;C&gt;1&lt;/C&gt;&lt;D xsi:type="xsd:string"&gt;China&lt;/D&gt;&lt;/FQL&gt;&lt;FQL&gt;&lt;Q&gt;USDVND^FG_COMPANY_NAME&lt;/Q&gt;&lt;R&gt;1&lt;/R&gt;&lt;C&gt;1&lt;/C&gt;&lt;D xsi:type="xsd:string"&gt;Vietnam Dong per U.S. Dollar&lt;/D&gt;&lt;/FQL&gt;&lt;FQL&gt;&lt;Q&gt;USDTRY^FG_COMPANY_NAME&lt;/Q&gt;&lt;R&gt;1&lt;/R&gt;&lt;C&gt;1&lt;/C&gt;&lt;D xsi:type="xsd:string"&gt;Turkish New Lira per U.S. Dollar&lt;/D&gt;&lt;/FQL&gt;&lt;FQL&gt;&lt;Q&gt;USDQAR^FG_COMPANY_NAME&lt;/Q&gt;&lt;R&gt;1&lt;/R&gt;&lt;C&gt;1&lt;/C&gt;&lt;D xsi:type="xsd:string"&gt;Qatari Rial per U.S. Dollar&lt;/D&gt;&lt;/FQL&gt;&lt;FQL&gt;&lt;Q&gt;USDINR^FG_COMPANY_NAME&lt;/Q&gt;&lt;R&gt;1&lt;/R&gt;&lt;C&gt;1&lt;/C&gt;&lt;D xsi:type="xsd:string"&gt;Indian Rupee per U.S. Dollar&lt;/D&gt;&lt;/FQL&gt;&lt;FQL&gt;&lt;Q&gt;USDZAR^FG_COMPANY_NAME&lt;/Q&gt;&lt;R&gt;1&lt;/R&gt;&lt;C&gt;1&lt;/C&gt;&lt;D xsi:type="xsd:string"&gt;South African Rand per U.S. Dollar&lt;/D&gt;&lt;/FQL&gt;&lt;FQL&gt;&lt;Q&gt;USDKRW^FG_COMPANY_NAME&lt;/Q&gt;&lt;R&gt;1&lt;/R&gt;&lt;C&gt;1&lt;/C&gt;&lt;D xsi:type="xsd:string"&gt;South Korean Won per U.S. Dollar&lt;/D&gt;&lt;/FQL&gt;&lt;FQL&gt;&lt;Q&gt;USDTWD^FG_COMPANY_NAME&lt;/Q&gt;&lt;R&gt;1&lt;/R&gt;&lt;C&gt;1&lt;/C&gt;&lt;D xsi:type="xsd:string"&gt;Taiwan Dollar per U.S. Dollar&lt;/D&gt;&lt;/FQL&gt;&lt;FQL&gt;&lt;Q&gt;USDPEN^FG_COMPANY_NAME&lt;/Q&gt;&lt;R&gt;1&lt;/R&gt;&lt;C&gt;1&lt;/C&gt;&lt;D xsi:type="xsd:string"&gt;Peruvian New Sol per U.S. Dollar&lt;/D&gt;&lt;/FQL&gt;&lt;FQL&gt;&lt;Q&gt;USDPHP^FG_COMPANY_NAME&lt;/Q&gt;&lt;R&gt;1&lt;/R&gt;&lt;C&gt;1&lt;/C&gt;&lt;D xsi:type="xsd:string"&gt;Philippines Peso per U.S. Dollar&lt;/D&gt;&lt;/FQL&gt;&lt;FQL&gt;&lt;Q&gt;USDCLP^FG_COMPANY_NAME&lt;/Q&gt;&lt;R&gt;1&lt;/R&gt;&lt;C&gt;1&lt;/C&gt;&lt;D xsi:type="xsd:string"&gt;Chilean Peso per U.S. Dollar&lt;/D&gt;&lt;/FQL&gt;&lt;FQL&gt;&lt;Q&gt;FC0000IN^FMA_EPS(NTMA,-20AY,0,CY,,"PORTAGG","MEANR")&lt;/Q&gt;&lt;R&gt;20&lt;/R&gt;&lt;C&gt;1&lt;/C&gt;&lt;D xsi:type="xsd:double"&gt;17.0027626869708&lt;/D&gt;&lt;D xsi:type="xsd:double"&gt;19.8227206360557&lt;/D&gt;&lt;D xsi:type="xsd:double"&gt;24.8656970951245&lt;/D&gt;&lt;D xsi:type="xsd:double"&gt;36.9882839444287&lt;/D&gt;&lt;D xsi:type="xsd:double"&gt;27.436164618175&lt;/D&gt;&lt;D xsi:type="xsd:double"&gt;31.1759922107968&lt;/D&gt;&lt;D xsi:type="xsd:double"&gt;39.3994482872955&lt;/D&gt;&lt;D xsi:type="xsd:double"&gt;33.2075700851179&lt;/D&gt;&lt;D xsi:type="xsd:double"&gt;33.4015998070445&lt;/D&gt;&lt;D xsi:type="xsd:double"&gt;29.9102522143572&lt;/D&gt;&lt;D xsi:type="xsd:double"&gt;32.6356733774262&lt;/D&gt;&lt;D xsi:type="xsd:double"&gt;32.8033724775519&lt;/D&gt;&lt;D xsi:type="xsd:double"&gt;33.3581868691557&lt;/D&gt;&lt;D xsi:type="xsd:double"&gt;38.0229713645291&lt;/D&gt;&lt;D xsi:type="xsd:double"&gt;36.6203986672657&lt;/D&gt;&lt;D xsi:type="xsd:double"&gt;36.3068316883199&lt;/D&gt;&lt;D xsi:type="xsd:double"&gt;33.7109241569627&lt;/D&gt;&lt;D xsi:type="xsd:double"&gt;47.005240463817&lt;/D&gt;&lt;D xsi:type="xsd:double"&gt;46.029957277037&lt;/D&gt;&lt;D xsi:type="xsd:double"&gt;54.6579936148452&lt;/D&gt;&lt;/FQL&gt;&lt;FQL&gt;&lt;Q&gt;VNM^FMA_ROE(NTMA,-20AY,NOW,FY,"PORTAGG","MEANR")&lt;/Q&gt;&lt;R&gt;20&lt;/R&gt;&lt;C&gt;1&lt;/C&gt;&lt;D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xsi:type="xsd:double"&gt;12.2007678582522&lt;/D&gt;&lt;D xsi:type="xsd:double"&gt;16.4162915324944&lt;/D&gt;&lt;D xsi:type="xsd:double"&gt;16.394053839446&lt;/D&gt;&lt;D xsi:type="xsd:double"&gt;15.4303491131499&lt;/D&gt;&lt;D xsi:type="xsd:double"&gt;15.2759317822094&lt;/D&gt;&lt;D xsi:type="xsd:double"&gt;10.9403666714676&lt;/D&gt;&lt;D xsi:type="xsd:double"&gt;8.5756546844961&lt;/D&gt;&lt;D xsi:type="xsd:double"&gt;13.4991404349356&lt;/D&gt;&lt;D xsi:type="xsd:double"&gt;12.1231419211942&lt;/D&gt;&lt;D xsi:type="xsd:double"&gt;15.1097267855615&lt;/D&gt;&lt;D xsi:type="xsd:double"&gt;15.4807939427972&lt;/D&gt;&lt;D xsi:type="xsd:double"&gt;17.0889112448112&lt;/D&gt;&lt;D xsi:type="xsd:double"&gt;18.3844905030187&lt;/D&gt;&lt;D xsi:type="xsd:double"&gt;14.7334622511066&lt;/D&gt;&lt;D xsi:type="xsd:double"&gt;10.7325513167657&lt;/D&gt;&lt;/FQL&gt;&lt;FQL&gt;&lt;Q&gt;EPHE^FMA_ROE(NTMA,-20AY,NOW,FY,"PORTAGG","MEANR")&lt;/Q&gt;&lt;R&gt;20&lt;/R&gt;&lt;C&gt;1&lt;/C&gt;&lt;D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xsi:type="xsd:double"&gt;14.7602970828313&lt;/D&gt;&lt;D xsi:type="xsd:double"&gt;15.1929773886247&lt;/D&gt;&lt;D xsi:type="xsd:double"&gt;13.700399154582&lt;/D&gt;&lt;D xsi:type="xsd:double"&gt;13.6976116734629&lt;/D&gt;&lt;D xsi:type="xsd:double"&gt;14.2196145027033&lt;/D&gt;&lt;D xsi:type="xsd:double"&gt;13.3322794237975&lt;/D&gt;&lt;D xsi:type="xsd:double"&gt;12.7182053290138&lt;/D&gt;&lt;D xsi:type="xsd:double"&gt;12.3434443766015&lt;/D&gt;&lt;D xsi:type="xsd:double"&gt;11.7069295115669&lt;/D&gt;&lt;D xsi:type="xsd:double"&gt;12.0971067278746&lt;/D&gt;&lt;D xsi:type="xsd:double"&gt;8.91575729801009&lt;/D&gt;&lt;D xsi:type="xsd:double"&gt;9.59945410063992&lt;/D&gt;&lt;D xsi:type="xsd:double"&gt;10.6731246326263&lt;/D&gt;&lt;D xsi:type="xsd:double"&gt;11.9407094450377&lt;/D&gt;&lt;/FQL&gt;&lt;FQL&gt;&lt;Q&gt;TRYUS10Y-FDS^FG_YIELD(-10AY,0,Y,,"YTM")&lt;/Q&gt;&lt;R&gt;10&lt;/R&gt;&lt;C&gt;1&lt;/C&gt;&lt;D xsi:type="xsd:double"&gt;2.1881&lt;/D&gt;&lt;D xsi:type="xsd:double"&gt;2.2961&lt;/D&gt;&lt;D xsi:type="xsd:double"&gt;2.4752&lt;/D&gt;&lt;D xsi:type="xsd:double"&gt;2.4325&lt;/D&gt;&lt;D xsi:type="xsd:double"&gt;2.6836&lt;/D&gt;&lt;D xsi:type="xsd:double"&gt;1.9185&lt;/D&gt;&lt;D xsi:type="xsd:double"&gt;0.9174&lt;/D&gt;&lt;D xsi:type="xsd:double"&gt;1.5119&lt;/D&gt;&lt;D xsi:type="xsd:double"&gt;3.8776&lt;/D&gt;&lt;D xsi:type="xsd:double"&gt;3.8791&lt;/D&gt;&lt;/FQL&gt;&lt;FQL&gt;&lt;Q&gt;TRYEU10Y-FDS^FG_YIELD(-10AY,0,Y,,"YTM")&lt;/Q&gt;&lt;R&gt;10&lt;/R&gt;&lt;C&gt;1&lt;/C&gt;&lt;D xsi:type="xsd:double"&gt;0.5475&lt;/D&gt;&lt;D xsi:type="xsd:double"&gt;0.636&lt;/D&gt;&lt;D xsi:type="xsd:double"&gt;0.2082&lt;/D&gt;&lt;D xsi:type="xsd:double"&gt;0.4294&lt;/D&gt;&lt;D xsi:type="xsd:double"&gt;0.239&lt;/D&gt;&lt;D xsi:type="xsd:double"&gt;-0.189&lt;/D&gt;&lt;D xsi:type="xsd:double"&gt;-0.575&lt;/D&gt;&lt;D xsi:type="xsd:double"&gt;-0.181&lt;/D&gt;&lt;D xsi:type="xsd:double"&gt;2.533&lt;/D&gt;&lt;D xsi:type="xsd:double"&gt;2.004&lt;/D&gt;&lt;/FQL&gt;&lt;FQL&gt;&lt;Q&gt;TRYZA10Y-FDS^JULIAN(FG_YIELD(-10AY,0,CY,,"YTM").DATES)&lt;/Q&gt;&lt;R&gt;10&lt;/R&gt;&lt;C&gt;1&lt;/C&gt;&lt;D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xsi:type="xsd:long"&gt;45289&lt;/D&gt;&lt;/FQL&gt;&lt;FQL&gt;&lt;Q&gt;CAGDPY@IN^EE_ACTUAL_ANNUAL(MED,0)&lt;/Q&gt;&lt;R&gt;1&lt;/R&gt;&lt;C&gt;1&lt;/C&gt;&lt;D xsi:type="xsd:double"&gt;-0.651406479275637&lt;/D&gt;&lt;/FQL&gt;&lt;FQL&gt;&lt;Q&gt;UAE^FMA_ROE(NTMA,-20AY,NOW,FY,"PORTAGG","MEANR")&lt;/Q&gt;&lt;R&gt;20&lt;/R&gt;&lt;C&gt;1&lt;/C&gt;&lt;D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xsi:type="xsd:double"&gt;11.0777984350957&lt;/D&gt;&lt;D xsi:type="xsd:double"&gt;12.3046871114493&lt;/D&gt;&lt;D xsi:type="xsd:double"&gt;11.0383578639711&lt;/D&gt;&lt;D xsi:type="xsd:double"&gt;12.0257898837902&lt;/D&gt;&lt;D xsi:type="xsd:double"&gt;10.3907544258318&lt;/D&gt;&lt;D xsi:type="xsd:double"&gt;8.128455158546&lt;/D&gt;&lt;D xsi:type="xsd:double"&gt;6.76201762780835&lt;/D&gt;&lt;D xsi:type="xsd:double"&gt;11.234942553465&lt;/D&gt;&lt;D xsi:type="xsd:double"&gt;12.9338493595798&lt;/D&gt;&lt;D xsi:type="xsd:double"&gt;13.2251182354264&lt;/D&gt;&lt;/FQL&gt;&lt;FQL&gt;&lt;Q&gt;EIDO^FMA_ROE(NTMA,-20AY,NOW,FY,"PORTAGG","MEANR")&lt;/Q&gt;&lt;R&gt;20&lt;/R&gt;&lt;C&gt;1&lt;/C&gt;&lt;D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xsi:type="xsd:double"&gt;18.9279585586526&lt;/D&gt;&lt;D xsi:type="xsd:double"&gt;18.0738292901709&lt;/D&gt;&lt;D xsi:type="xsd:double"&gt;16.8092892463225&lt;/D&gt;&lt;D xsi:type="xsd:double"&gt;19.1020740705792&lt;/D&gt;&lt;D xsi:type="xsd:double"&gt;18.4086750507428&lt;/D&gt;&lt;D xsi:type="xsd:double"&gt;15.6625909554988&lt;/D&gt;&lt;D xsi:type="xsd:double"&gt;15.054606398618&lt;/D&gt;&lt;D xsi:type="xsd:double"&gt;15.7733994434049&lt;/D&gt;&lt;D xsi:type="xsd:double"&gt;15.5352440090718&lt;/D&gt;&lt;D xsi:type="xsd:double"&gt;14.4300103255066&lt;/D&gt;&lt;D xsi:type="xsd:double"&gt;11.4814604214712&lt;/D&gt;&lt;D xsi:type="xsd:double"&gt;13.6928560106707&lt;/D&gt;&lt;D xsi:type="xsd:double"&gt;15.6524440673878&lt;/D&gt;&lt;D xsi:type="xsd:double"&gt;14.02340332534&lt;/D&gt;&lt;/FQL&gt;&lt;FQL&gt;&lt;Q&gt;CAGDPY@SA^EE_ACTUAL_ANNUAL(MED,+1)&lt;/Q&gt;&lt;R&gt;1&lt;/R&gt;&lt;C&gt;1&lt;/C&gt;&lt;D xsi:type="xsd:double"&gt;2.3&lt;/D&gt;&lt;/FQL&gt;&lt;FQL&gt;&lt;Q&gt;CAGDPY@GR^EE_ACTUAL_ANNUAL(MED,+1)&lt;/Q&gt;&lt;R&gt;1&lt;/R&gt;&lt;C&gt;1&lt;/C&gt;&lt;D xsi:type="xsd:double"&gt;-6.9&lt;/D&gt;&lt;/FQL&gt;&lt;FQL&gt;&lt;Q&gt;CAGDPY@PL^EE_ACTUAL_ANNUAL(MED,+1)&lt;/Q&gt;&lt;R&gt;1&lt;/R&gt;&lt;C&gt;1&lt;/C&gt;&lt;D xsi:type="xsd:double"&gt;0.45&lt;/D&gt;&lt;/FQL&gt;&lt;FQL&gt;&lt;Q&gt;USDSAR^STD(FG_PRICE_CHANGE(0,-1AY,AM))&lt;/Q&gt;&lt;R&gt;1&lt;/R&gt;&lt;C&gt;1&lt;/C&gt;&lt;D xsi:type="xsd:double"&gt;0.0193710854534805&lt;/D&gt;&lt;/FQL&gt;&lt;FQL&gt;&lt;Q&gt;USDAED^STD(FG_PRICE_CHANGE(0,-1AY,AM))&lt;/Q&gt;&lt;R&gt;1&lt;/R&gt;&lt;C&gt;1&lt;/C&gt;&lt;D xsi:type="xsd:double"&gt;0.00604776415315072&lt;/D&gt;&lt;/FQL&gt;&lt;FQL&gt;&lt;Q&gt;TUR^FMA_ROE(NTMA,-20AY,NOW,FY,"PORTAGG","MEANR")&lt;/Q&gt;&lt;R&gt;20&lt;/R&gt;&lt;C&gt;1&lt;/C&gt;&lt;D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xsi:type="xsd:double"&gt;14.5323662756041&lt;/D&gt;&lt;D xsi:type="xsd:double"&gt;15.0832531129689&lt;/D&gt;&lt;D xsi:type="xsd:double"&gt;15.8676026141806&lt;/D&gt;&lt;D xsi:type="xsd:double"&gt;14.4769185864537&lt;/D&gt;&lt;D xsi:type="xsd:double"&gt;15.0590425800443&lt;/D&gt;&lt;D xsi:type="xsd:double"&gt;13.6524897976729&lt;/D&gt;&lt;D xsi:type="xsd:double"&gt;12.866544620472&lt;/D&gt;&lt;D xsi:type="xsd:double"&gt;12.7726870869254&lt;/D&gt;&lt;D xsi:type="xsd:double"&gt;12.8458107179109&lt;/D&gt;&lt;D xsi:type="xsd:double"&gt;15.2051271731034&lt;/D&gt;&lt;D xsi:type="xsd:double"&gt;14.7086929252537&lt;/D&gt;&lt;D xsi:type="xsd:double"&gt;14.8395467674489&lt;/D&gt;&lt;D xsi:type="xsd:double"&gt;12.8830286544733&lt;/D&gt;&lt;D xsi:type="xsd:double"&gt;18.572493417843&lt;/D&gt;&lt;D xsi:type="xsd:double"&gt;24.1409635144245&lt;/D&gt;&lt;D xsi:type="xsd:double"&gt;25.8460088493027&lt;/D&gt;&lt;/FQL&gt;&lt;FQL&gt;&lt;Q&gt;ECH^FMA_ROE(NTMA,-20AY,NOW,FY,"PORTAGG","MEANR")&lt;/Q&gt;&lt;R&gt;20&lt;/R&gt;&lt;C&gt;1&lt;/C&gt;&lt;D xsi:type="xsd:string"&gt;@NA&lt;/D&gt;&lt;D xsi:type="xsd:string"&gt;@NA&lt;/D&gt;&lt;D xsi:type="xsd:string"&gt;@NA&lt;/D&gt;&lt;D xsi:type="xsd:double"&gt;14.1776881603624&lt;/D&gt;&lt;D xsi:type="xsd:double"&gt;11.2798802315493&lt;/D&gt;&lt;D xsi:type="xsd:double"&gt;14.2628883913247&lt;/D&gt;&lt;D xsi:type="xsd:double"&gt;14.4661394368492&lt;/D&gt;&lt;D xsi:type="xsd:double"&gt;14.0754868016221&lt;/D&gt;&lt;D xsi:type="xsd:double"&gt;12.4952890187187&lt;/D&gt;&lt;D xsi:type="xsd:double"&gt;10.8480668279512&lt;/D&gt;&lt;D xsi:type="xsd:double"&gt;9.37758339699264&lt;/D&gt;&lt;D xsi:type="xsd:double"&gt;9.57060991333475&lt;/D&gt;&lt;D xsi:type="xsd:double"&gt;8.68386650455443&lt;/D&gt;&lt;D xsi:type="xsd:double"&gt;9.38392046774864&lt;/D&gt;&lt;D xsi:type="xsd:double"&gt;11.2778516938703&lt;/D&gt;&lt;D xsi:type="xsd:double"&gt;9.83590954451218&lt;/D&gt;&lt;D xsi:type="xsd:double"&gt;8.75463942854792&lt;/D&gt;&lt;D xsi:type="xsd:double"&gt;10.603942137045&lt;/D&gt;&lt;D xsi:type="xsd:double"&gt;12.7877329372984&lt;/D&gt;&lt;D xsi:type="xsd:double"&gt;13.7700879441955&lt;/D&gt;&lt;/FQL&gt;&lt;FQL&gt;&lt;Q&gt;CAGDPY@SA^EE_ACTUAL_ANNUAL(MED,0)&lt;/Q&gt;&lt;R&gt;1&lt;/R&gt;&lt;C&gt;1&lt;/C&gt;&lt;D xsi:type="xsd:double"&gt;3.19136442056759&lt;/D&gt;&lt;/FQL&gt;&lt;FQL&gt;&lt;Q&gt;SET-BKK^FMA_ROE(NTMA,-20AY,NOW,FY,"PORTAGG","MEANR")&lt;/Q&gt;&lt;R&gt;20&lt;/R&gt;&lt;C&gt;1&lt;/C&gt;&lt;D xsi:type="xsd:double"&gt;19.4775253074283&lt;/D&gt;&lt;D xsi:type="xsd:double"&gt;16.7129326073384&lt;/D&gt;&lt;D xsi:type="xsd:double"&gt;14.8656028990892&lt;/D&gt;&lt;D xsi:type="xsd:double"&gt;14.4266077076695&lt;/D&gt;&lt;D xsi:type="xsd:double"&gt;11.0560385715565&lt;/D&gt;&lt;D xsi:type="xsd:double"&gt;13.1789961604636&lt;/D&gt;&lt;D xsi:type="xsd:double"&gt;14.9486867959632&lt;/D&gt;&lt;D xsi:type="xsd:double"&gt;14.3192952203821&lt;/D&gt;&lt;D xsi:type="xsd:double"&gt;15.3579090829836&lt;/D&gt;&lt;D xsi:type="xsd:double"&gt;14.4834347566328&lt;/D&gt;&lt;D xsi:type="xsd:double"&gt;13.1977119976914&lt;/D&gt;&lt;D xsi:type="xsd:double"&gt;12.8261347373446&lt;/D&gt;&lt;D xsi:type="xsd:double"&gt;12.4445057567564&lt;/D&gt;&lt;D xsi:type="xsd:double"&gt;12.4919200136172&lt;/D&gt;&lt;D xsi:type="xsd:double"&gt;12.5523899281401&lt;/D&gt;&lt;D xsi:type="xsd:double"&gt;10.9395949217405&lt;/D&gt;&lt;D xsi:type="xsd:double"&gt;8.38849749810761&lt;/D&gt;&lt;D xsi:type="xsd:double"&gt;9.94747027091188&lt;/D&gt;&lt;D xsi:type="xsd:double"&gt;10.1243577068579&lt;/D&gt;&lt;D xsi:type="xsd:double"&gt;9.34877442177023&lt;/D&gt;&lt;/FQL&gt;&lt;FQL&gt;&lt;Q&gt;CNYA^FMA_ROE(NTMA,-20AY,NOW,FY,"PORTAGG","MEANR")&lt;/Q&gt;&lt;R&gt;20&lt;/R&gt;&lt;C&gt;1&lt;/C&gt;&lt;D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xsi:type="xsd:double"&gt;12.0357109832906&lt;/D&gt;&lt;D xsi:type="xsd:double"&gt;13.2280587166858&lt;/D&gt;&lt;D xsi:type="xsd:double"&gt;12.9587909941324&lt;/D&gt;&lt;D xsi:type="xsd:double"&gt;13.4754556306809&lt;/D&gt;&lt;D xsi:type="xsd:double"&gt;12.9930414974506&lt;/D&gt;&lt;D xsi:type="xsd:double"&gt;13.7625167438192&lt;/D&gt;&lt;D xsi:type="xsd:double"&gt;13.3621598994692&lt;/D&gt;&lt;D xsi:type="xsd:double"&gt;12.0173796099271&lt;/D&gt;&lt;/FQL&gt;&lt;FQL&gt;&lt;Q&gt;TRY10Y-FDS^FG_YIELD(-10AY,0,Y,,"YTM")&lt;/Q&gt;&lt;R&gt;10&lt;/R&gt;&lt;C&gt;1&lt;/C&gt;&lt;D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xsi:type="xsd:string"&gt;@NA&lt;/D&gt;&lt;/FQL&gt;&lt;FQL&gt;&lt;Q&gt;CAGDPY@VN^EE_ACTUAL_ANNUAL(MED,+1)&lt;/Q&gt;&lt;R&gt;0&lt;/R&gt;&lt;C&gt;0&lt;/C&gt;&lt;/FQL&gt;&lt;FQL&gt;&lt;Q&gt;CAGDPY@ZA^EE_ACTUAL_ANNUAL(MED,+1)&lt;/Q&gt;&lt;R&gt;1&lt;/R&gt;&lt;C&gt;1&lt;/C&gt;&lt;D xsi:type="xsd:double"&gt;-1.9&lt;/D&gt;&lt;/FQL&gt;&lt;FQL&gt;&lt;Q&gt;CAGDPY@PH^EE_ACTUAL_ANNUAL(MED,+1)&lt;/Q&gt;&lt;R&gt;1&lt;/R&gt;&lt;C&gt;1&lt;/C&gt;&lt;D xsi:type="xsd:double"&gt;-2.4&lt;/D&gt;&lt;/FQL&gt;&lt;FQL&gt;&lt;Q&gt;CC_GR^FG_COMPANY_NAME&lt;/Q&gt;&lt;R&gt;1&lt;/R&gt;&lt;C&gt;1&lt;/C&gt;&lt;D xsi:type="xsd:string"&gt;Greece&lt;/D&gt;&lt;/FQL&gt;&lt;FQL&gt;&lt;Q&gt;USDSAR^FG_PRICE_CHANGE(0,-3AM)&lt;/Q&gt;&lt;R&gt;1&lt;/R&gt;&lt;C&gt;1&lt;/C&gt;&lt;D xsi:type="xsd:double"&gt;-0.010663271&lt;/D&gt;&lt;/FQL&gt;&lt;FQL&gt;&lt;Q&gt;USDAED^FG_PRICE_CHANGE(0,-3AM)&lt;/Q&gt;&lt;R&gt;1&lt;/R&gt;&lt;C&gt;1&lt;/C&gt;&lt;D xsi:type="xsd:double"&gt;0.008177757&lt;/D&gt;&lt;/FQL&gt;&lt;FQL&gt;&lt;Q&gt;USDTHB^FG_PRICE_CHANGE(0,-3AM)&lt;/Q&gt;&lt;R&gt;1&lt;/R&gt;&lt;C&gt;1&lt;/C&gt;&lt;D xsi:type="xsd:double"&gt;-1.5801966&lt;/D&gt;&lt;/FQL&gt;&lt;FQL&gt;&lt;Q&gt;USDCNH^FG_PRICE_CHANGE(0,-3AM)&lt;/Q&gt;&lt;R&gt;1&lt;/R&gt;&lt;C&gt;1&lt;/C&gt;&lt;D xsi:type="xsd:double"&gt;0.49533844&lt;/D&gt;&lt;/FQL&gt;&lt;FQL&gt;&lt;Q&gt;USDEUR^FG_PRICE_CHANGE(0,-3AM)&lt;/Q&gt;&lt;R&gt;1&lt;/R&gt;&lt;C&gt;1&lt;/C&gt;&lt;D xsi:type="xsd:double"&gt;-2.020204&lt;/D&gt;&lt;/FQL&gt;&lt;FQL&gt;&lt;Q&gt;QAT^FMA_ROE(NTMA,-20AY,NOW,FY,"PORTAGG","MEANR")&lt;/Q&gt;&lt;R&gt;20&lt;/R&gt;&lt;C&gt;1&lt;/C&gt;&lt;D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xsi:type="xsd:double"&gt;16.7779984816015&lt;/D&gt;&lt;D xsi:type="xsd:double"&gt;14.8814458142908&lt;/D&gt;&lt;D xsi:type="xsd:double"&gt;12.1435908718223&lt;/D&gt;&lt;D xsi:type="xsd:double"&gt;12.1306553272553&lt;/D&gt;&lt;D xsi:type="xsd:double"&gt;12.3947412104099&lt;/D&gt;&lt;D xsi:type="xsd:double"&gt;11.6446378155882&lt;/D&gt;&lt;D xsi:type="xsd:double"&gt;11.2380998666164&lt;/D&gt;&lt;D xsi:type="xsd:double"&gt;12.7317850147387&lt;/D&gt;&lt;D xsi:type="xsd:double"&gt;13.2901313577645&lt;/D&gt;&lt;D xsi:type="xsd:double"&gt;12.1192289718939&lt;/D&gt;&lt;/FQL&gt;&lt;FQL&gt;&lt;Q&gt;EWM^JULIAN(FMA_ROE(NTMA,-20AY,NOW,FY,"PORTAGG","MEANR").DATES)&lt;/Q&gt;&lt;R&gt;20&lt;/R&gt;&lt;C&gt;1&lt;/C&gt;&lt;D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xsi:type="xsd:long"&gt;45289&lt;/D&gt;&lt;/FQL&gt;&lt;FQL&gt;&lt;Q&gt;TRYPH10Y-FDS^FG_YIELD(-10AY,0,Y,,"YTM")&lt;/Q&gt;&lt;R&gt;10&lt;/R&gt;&lt;C&gt;1&lt;/C&gt;&lt;D xsi:type="xsd:double"&gt;3.8633&lt;/D&gt;&lt;D xsi:type="xsd:double"&gt;4.1&lt;/D&gt;&lt;D xsi:type="xsd:double"&gt;4.6281&lt;/D&gt;&lt;D xsi:type="xsd:double"&gt;5.6986&lt;/D&gt;&lt;D xsi:type="xsd:double"&gt;7.1730304&lt;/D&gt;&lt;D xsi:type="xsd:double"&gt;4.847582&lt;/D&gt;&lt;D xsi:type="xsd:double"&gt;3.4208684&lt;/D&gt;&lt;D xsi:type="xsd:double"&gt;4.796723&lt;/D&gt;&lt;D xsi:type="xsd:double"&gt;6.9293385&lt;/D&gt;&lt;D xsi:type="xsd:double"&gt;6.0028777&lt;/D&gt;&lt;/FQL&gt;&lt;FQL&gt;&lt;Q&gt;TRYTR7Y-FDS^FG_YIELD(-10AY,0,Y,,"YTM")&lt;/Q&gt;&lt;R&gt;10&lt;/R&gt;&lt;C&gt;1&lt;/C&gt;&lt;D xsi:type="xsd:double"&gt;7.979133&lt;/D&gt;&lt;D xsi:type="xsd:double"&gt;10.679033&lt;/D&gt;&lt;D xsi:type="xsd:double"&gt;11.110786&lt;/D&gt;&lt;D xsi:type="xsd:double"&gt;11.586128&lt;/D&gt;&lt;D xsi:type="xsd:double"&gt;15.896213&lt;/D&gt;&lt;D xsi:type="xsd:double"&gt;12.034795&lt;/D&gt;&lt;D xsi:type="xsd:double"&gt;12.534946&lt;/D&gt;&lt;D xsi:type="xsd:double"&gt;23.870693&lt;/D&gt;&lt;D xsi:type="xsd:double"&gt;7.323803&lt;/D&gt;&lt;D xsi:type="xsd:double"&gt;21.984322&lt;/D&gt;&lt;/FQL&gt;&lt;FQL&gt;&lt;Q&gt;CAGDPY@VN^EE_ACTUAL_ANNUAL(MED,0)&lt;/Q&gt;&lt;R&gt;0&lt;/R&gt;&lt;C&gt;0&lt;/C&gt;&lt;/FQL&gt;&lt;FQL&gt;&lt;Q&gt;CAGDPY@ZA^EE_ACTUAL_ANNUAL(MED,0)&lt;/Q&gt;&lt;R&gt;1&lt;/R&gt;&lt;C&gt;1&lt;/C&gt;&lt;D xsi:type="xsd:double"&gt;-1.6&lt;/D&gt;&lt;/FQL&gt;&lt;FQL&gt;&lt;Q&gt;CAGDPY@PH^EE_ACTUAL_ANNUAL(MED,0)&lt;/Q&gt;&lt;R&gt;1&lt;/R&gt;&lt;C&gt;1&lt;/C&gt;&lt;D xsi:type="xsd:double"&gt;-2.56663776811855&lt;/D&gt;&lt;/FQL&gt;&lt;FQL&gt;&lt;Q&gt;USDSAR^FG_PRICE_CHANGE(0,-1AM)&lt;/Q&gt;&lt;R&gt;1&lt;/R&gt;&lt;C&gt;1&lt;/C&gt;&lt;D xsi:type="xsd:double"&gt;-0.018656254&lt;/D&gt;&lt;/FQL&gt;&lt;FQL&gt;&lt;Q&gt;USDAED^FG_PRICE_CHANGE(0,-1AM)&lt;/Q&gt;&lt;R&gt;1&lt;/R&gt;&lt;C&gt;1&lt;/C&gt;&lt;D xsi:type="xsd:double"&gt;-0.0013589859&lt;/D&gt;&lt;/FQL&gt;&lt;FQL&gt;&lt;Q&gt;USDTHB^FG_PRICE_CHANGE(0,-1AM)&lt;/Q&gt;&lt;R&gt;1&lt;/R&gt;&lt;C&gt;1&lt;/C&gt;&lt;D xsi:type="xsd:double"&gt;-1.0905147&lt;/D&gt;&lt;/FQL&gt;&lt;FQL&gt;&lt;Q&gt;USDCNH^FG_PRICE_CHANGE(0,-1AM)&lt;/Q&gt;&lt;R&gt;1&lt;/R&gt;&lt;C&gt;1&lt;/C&gt;&lt;D xsi:type="xsd:double"&gt;0.049448013&lt;/D&gt;&lt;/FQL&gt;&lt;FQL&gt;&lt;Q&gt;USDEUR^FG_PRICE_CHANGE(0,-1AM)&lt;/Q&gt;&lt;R&gt;1&lt;/R&gt;&lt;C&gt;1&lt;/C&gt;&lt;D xsi:type="xsd:double"&gt;-1.2947619&lt;/D&gt;&lt;/FQL&gt;&lt;FQL&gt;&lt;Q&gt;USDBRL^FG_PRICE_CHANGE(0,-1AM)&lt;/Q&gt;&lt;R&gt;1&lt;/R&gt;&lt;C&gt;1&lt;/C&gt;&lt;D xsi:type="xsd:double"&gt;1.5699863&lt;/D&gt;&lt;/FQL&gt;&lt;FQL&gt;&lt;Q&gt;USDMXN^FG_PRICE_CHANGE(0,-1AM)&lt;/Q&gt;&lt;R&gt;1&lt;/R&gt;&lt;C&gt;1&lt;/C&gt;&lt;D xsi:type="xsd:double"&gt;-2.6649594&lt;/D&gt;&lt;/FQL&gt;&lt;FQL&gt;&lt;Q&gt;USDMYR^FG_PRICE_CHANGE(0,-1AM)&lt;/Q&gt;&lt;R&gt;1&lt;/R&gt;&lt;C&gt;1&lt;/C&gt;&lt;D xsi:type="xsd:double"&gt;-0.4036963&lt;/D&gt;&lt;/FQL&gt;&lt;FQL&gt;&lt;Q&gt;USDPLN^FG_PRICE_CHANGE(0,-1AM)&lt;/Q&gt;&lt;R&gt;1&lt;/R&gt;&lt;C&gt;1&lt;/C&gt;&lt;D xsi:type="xsd:double"&gt;-2.2123933&lt;/D&gt;&lt;/FQL&gt;&lt;FQL&gt;&lt;Q&gt;USDIDR^FG_PRICE_CHANGE(0,-1AM)&lt;/Q&gt;&lt;R&gt;1&lt;/R&gt;&lt;C&gt;1&lt;/C&gt;&lt;D xsi:type="xsd:double"&gt;-1.069355&lt;/D&gt;&lt;/FQL&gt;&lt;FQL&gt;&lt;Q&gt;FC0000MX^FMA_EPS(NTMA,-20AY,0,CY,,"PORTAGG","MEANR")&lt;/Q&gt;&lt;R&gt;20&lt;/R&gt;&lt;C&gt;1&lt;/C&gt;&lt;D xsi:type="xsd:double"&gt;12.7623750851153&lt;/D&gt;&lt;D xsi:type="xsd:double"&gt;17.4927009872891&lt;/D&gt;&lt;D xsi:type="xsd:double"&gt;24.3227140078413&lt;/D&gt;&lt;D xsi:type="xsd:double"&gt;28.6358691988307&lt;/D&gt;&lt;D xsi:type="xsd:double"&gt;18.3981121787071&lt;/D&gt;&lt;D xsi:type="xsd:double"&gt;21.1225586549364&lt;/D&gt;&lt;D xsi:type="xsd:double"&gt;25.2833135475083&lt;/D&gt;&lt;D xsi:type="xsd:double"&gt;25.3632619889916&lt;/D&gt;&lt;D xsi:type="xsd:double"&gt;28.0716519822771&lt;/D&gt;&lt;D xsi:type="xsd:double"&gt;26.2005304543781&lt;/D&gt;&lt;D xsi:type="xsd:double"&gt;23.6403453539385&lt;/D&gt;&lt;D xsi:type="xsd:double"&gt;20.9545559014505&lt;/D&gt;&lt;D xsi:type="xsd:double"&gt;19.8032110904755&lt;/D&gt;&lt;D xsi:type="xsd:double"&gt;23.4173783162506&lt;/D&gt;&lt;D xsi:type="xsd:double"&gt;25.5454576160172&lt;/D&gt;&lt;D xsi:type="xsd:double"&gt;25.3691273734602&lt;/D&gt;&lt;D xsi:type="xsd:double"&gt;22.3569609127116&lt;/D&gt;&lt;D xsi:type="xsd:double"&gt;28.1816282016733&lt;/D&gt;&lt;D xsi:type="xsd:double"&gt;32.5319871434715&lt;/D&gt;&lt;D xsi:type="xsd:double"&gt;39.4423843156453&lt;/D&gt;&lt;/FQL&gt;&lt;FQL&gt;&lt;Q&gt;MCHI^P_PRICE_RETURNS_PR('52W',2,-10AY,0,AM)&lt;/Q&gt;&lt;R&gt;121&lt;/R&gt;&lt;C&gt;1&lt;/C&gt;&lt;D xsi:type="xsd:double"&gt;16.639328&lt;/D&gt;&lt;D xsi:type="xsd:double"&gt;17.776812&lt;/D&gt;&lt;D xsi:type="xsd:double"&gt;5.381489&lt;/D&gt;&lt;D xsi:type="xsd:double"&gt;1.470685&lt;/D&gt;&lt;D xsi:type="xsd:double"&gt;-0.84475875&lt;/D&gt;&lt;D xsi:type="xsd:double"&gt;6.403947&lt;/D&gt;&lt;D xsi:type="xsd:double"&gt;14.160466&lt;/D&gt;&lt;D xsi:type="xsd:double"&gt;17.523539&lt;/D&gt;&lt;D xsi:type="xsd:double"&gt;27.057302&lt;/D&gt;&lt;D xsi:type="xsd:double"&gt;38.168217&lt;/D&gt;&lt;D xsi:type="xsd:double"&gt;40.883923&lt;/D&gt;&lt;D xsi:type="xsd:double"&gt;24.781227&lt;/D&gt;&lt;D xsi:type="xsd:double"&gt;13.1021385&lt;/D&gt;&lt;D xsi:type="xsd:double"&gt;-5.8160543&lt;/D&gt;&lt;D xsi:type="xsd:double"&gt;-8.4566&lt;/D&gt;&lt;D xsi:type="xsd:double"&gt;4.608202&lt;/D&gt;&lt;D xsi:type="xsd:double"&gt;0.5939007&lt;/D&gt;&lt;D xsi:type="xsd:double"&gt;-5.931324&lt;/D&gt;&lt;D xsi:type="xsd:double"&gt;-22.262371&lt;/D&gt;&lt;D xsi:type="xsd:double"&gt;-24.25785&lt;/D&gt;&lt;D xsi:type="xsd:double"&gt;-18.38435&lt;/D&gt;&lt;D xsi:type="xsd:double"&gt;-25.965279&lt;/D&gt;&lt;D xsi:type="xsd:double"&gt;-34.431744&lt;/D&gt;&lt;D xsi:type="xsd:double"&gt;-27.378284&lt;/D&gt;&lt;D xsi:type="xsd:double"&gt;-15.693295&lt;/D&gt;&lt;D xsi:type="xsd:double"&gt;2.1144032&lt;/D&gt;&lt;D xsi:type="xsd:double"&gt;9.713423&lt;/D&gt;&lt;D xsi:type="xsd:double"&gt;1.967454&lt;/D&gt;&lt;D xsi:type="xsd:double"&gt;-1.9312918&lt;/D&gt;&lt;D xsi:type="xsd:double"&gt;-1.1521935&lt;/D&gt;&lt;D xsi:type="xsd:double"&gt;21.515703&lt;/D&gt;&lt;D xsi:type="xsd:double"&gt;28.934502&lt;/D&gt;&lt;D xsi:type="xsd:double"&gt;22.504997&lt;/D&gt;&lt;D xsi:type="xsd:double"&gt;14.028347&lt;/D&gt;&lt;D xsi:type="xsd:double"&gt;37.014805&lt;/D&gt;&lt;D xsi:type="xsd:double"&gt;37.021183&lt;/D&gt;&lt;D xsi:type="xsd:double"&gt;35.971867&lt;/D&gt;&lt;D xsi:type="xsd:double"&gt;27.395857&lt;/D&gt;&lt;D xsi:type="xsd:double"&gt;35.707485&lt;/D&gt;&lt;D xsi:type="xsd:double"&gt;36.114906&lt;/D&gt;&lt;D xsi:type="xsd:double"&gt;50.90796&lt;/D&gt;&lt;D xsi:type="xsd:double"&gt;52.292847&lt;/D&gt;&lt;D xsi:type="xsd:double"&gt;61.54125&lt;/D&gt;&lt;D xsi:type="xsd:double"&gt;47.075798&lt;/D&gt;&lt;D xsi:type="xsd:double"&gt;44.64332&lt;/D&gt;&lt;D xsi:type="xsd:double"&gt;38.855457&lt;/D&gt;&lt;D xsi:type="xsd:double"&gt;33.966614&lt;/D&gt;&lt;D xsi:type="xsd:double"&gt;26.183247&lt;/D&gt;&lt;D xsi:type="xsd:double"&gt;9.449041&lt;/D&gt;&lt;D xsi:type="xsd:double"&gt;2.112031&lt;/D&gt;&lt;D xsi:type="xsd:double"&gt;-6.087053&lt;/D&gt;&lt;D xsi:type="xsd:double"&gt;-16.196419&lt;/D&gt;&lt;D xsi:type="xsd:double"&gt;-16.786224&lt;/D&gt;&lt;D xsi:type="xsd:double"&gt;-18.227594&lt;/D&gt;&lt;D xsi:type="xsd:double"&gt;-20.085907&lt;/D&gt;&lt;D xsi:type="xsd:double"&gt;-15.212947&lt;/D&gt;&lt;D xsi:type="xsd:double"&gt;-10.883724&lt;/D&gt;&lt;D xsi:type="xsd:double"&gt;-2.8486252&lt;/D&gt;&lt;D xsi:type="xsd:double"&gt;-15.793127&lt;/D&gt;&lt;D xsi:type="xsd:double"&gt;-12.6157465&lt;/D&gt;&lt;D xsi:type="xsd:double"&gt;-4.070014&lt;/D&gt;&lt;D xsi:type="xsd:double"&gt;-3.8015604&lt;/D&gt;&lt;D xsi:type="xsd:double"&gt;0.11618137&lt;/D&gt;&lt;D xsi:type="xsd:double"&gt;11.152053&lt;/D&gt;&lt;D xsi:type="xsd:double"&gt;10.192574&lt;/D&gt;&lt;D xsi:type="xsd:double"&gt;22.381329&lt;/D&gt;&lt;D xsi:type="xsd:double"&gt;21.334648&lt;/D&gt;&lt;D xsi:type="xsd:double"&gt;11.387277&lt;/D&gt;&lt;D xsi:type="xsd:double"&gt;-14.802295&lt;/D&gt;&lt;D xsi:type="xsd:double"&gt;-5.7964444&lt;/D&gt;&lt;D xsi:type="xsd:double"&gt;10.013747&lt;/D&gt;&lt;D xsi:type="xsd:double"&gt;12.940884&lt;/D&gt;&lt;D xsi:type="xsd:double"&gt;21.640968&lt;/D&gt;&lt;D xsi:type="xsd:double"&gt;31.500149&lt;/D&gt;&lt;D xsi:type="xsd:double"&gt;27.551197&lt;/D&gt;&lt;D xsi:type="xsd:double"&gt;35.705017&lt;/D&gt;&lt;D xsi:type="xsd:double"&gt;35.73797&lt;/D&gt;&lt;D xsi:type="xsd:double"&gt;28.149246&lt;/D&gt;&lt;D xsi:type="xsd:double"&gt;33.0595&lt;/D&gt;&lt;D xsi:type="xsd:double"&gt;48.15413&lt;/D&gt;&lt;D xsi:type="xsd:double"&gt;62.82065&lt;/D&gt;&lt;D xsi:type="xsd:double"&gt;38.109146&lt;/D&gt;&lt;D xsi:type="xsd:double"&gt;29.425371&lt;/D&gt;&lt;D xsi:type="xsd:double"&gt;24.482954&lt;/D&gt;&lt;D xsi:type="xsd:double"&gt;9.24809&lt;/D&gt;&lt;D xsi:type="xsd:double"&gt;-8.224588&lt;/D&gt;&lt;D xsi:type="xsd:double"&gt;-6.0604277&lt;/D&gt;&lt;D xsi:type="xsd:double"&gt;-5.2671614&lt;/D&gt;&lt;D xsi:type="xsd:double"&gt;-13.604683&lt;/D&gt;&lt;D xsi:type="xsd:double"&gt;-22.022104&lt;/D&gt;&lt;D xsi:type="xsd:double"&gt;-28.091759&lt;/D&gt;&lt;D xsi:type="xsd:double"&gt;-34.49796&lt;/D&gt;&lt;D xsi:type="xsd:double"&gt;-34.050415&lt;/D&gt;&lt;D xsi:type="xsd:double"&gt;-36.76446&lt;/D&gt;&lt;D xsi:type="xsd:double"&gt;-37.403168&lt;/D&gt;&lt;D xsi:type="xsd:double"&gt;-33.50398&lt;/D&gt;&lt;D xsi:type="xsd:double"&gt;-30.712282&lt;/D&gt;&lt;D xsi:type="xsd:double"&gt;-26.197798&lt;/D&gt;&lt;D xsi:type="xsd:double"&gt;-31.91631&lt;/D&gt;&lt;D xsi:type="xsd:double"&gt;-45.10921&lt;/D&gt;&lt;D xsi:type="xsd:double"&gt;-34.65069&lt;/D&gt;&lt;D xsi:type="xsd:double"&gt;-22.781658&lt;/D&gt;&lt;D xsi:type="xsd:double"&gt;-13.529009&lt;/D&gt;&lt;D xsi:type="xsd:double"&gt;-18.287546&lt;/D&gt;&lt;D xsi:type="xsd:double"&gt;-8.783579&lt;/D&gt;&lt;D xsi:type="xsd:double"&gt;-2.506572&lt;/D&gt;&lt;D xsi:type="xsd:double"&gt;-4.7405124&lt;/D&gt;&lt;D xsi:type="xsd:double"&gt;-5.9237003&lt;/D&gt;&lt;D xsi:type="xsd:double"&gt;-11.235386&lt;/D&gt;&lt;D xsi:type="xsd:double"&gt;-9.092623&lt;/D&gt;&lt;D xsi:type="xsd:double"&gt;-2.9498756&lt;/D&gt;&lt;D xsi:type="xsd:double"&gt;8.627391&lt;/D&gt;&lt;D xsi:type="xsd:double"&gt;-2.1634161&lt;/D&gt;&lt;D xsi:type="xsd:double"&gt;-11.125827&lt;/D&gt;&lt;D xsi:type="xsd:double"&gt;-28.37757&lt;/D&gt;&lt;D xsi:type="xsd:double"&gt;-21.68737&lt;/D&gt;&lt;D xsi:type="xsd:double"&gt;-11.8726845&lt;/D&gt;&lt;D xsi:type="xsd:double"&gt;-17.003792&lt;/D&gt;&lt;D xsi:type="xsd:double"&gt;3.9025784&lt;/D&gt;&lt;D xsi:type="xsd:double"&gt;-5.902404&lt;/D&gt;&lt;D xsi:type="xsd:double"&gt;-5.102915&lt;/D&gt;&lt;/FQL&gt;&lt;FQL&gt;&lt;Q&gt;KSA^FG_TOTAL_RETURNC(-10AY,0,AM)&lt;/Q&gt;&lt;R&gt;121&lt;/R&gt;&lt;C&gt;1&lt;/C&gt;&lt;D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xsi:type="xsd:double"&gt;5.9968233&lt;/D&gt;&lt;D xsi:type="xsd:double"&gt;-7.2499094&lt;/D&gt;&lt;D xsi:type="xsd:double"&gt;-1.1916816&lt;/D&gt;&lt;D xsi:type="xsd:double"&gt;-17.48873&lt;/D&gt;&lt;D xsi:type="xsd:double"&gt;1.9385576&lt;/D&gt;&lt;D xsi:type="xsd:double"&gt;10.838806&lt;/D&gt;&lt;D xsi:type="xsd:double"&gt;2.2592664&lt;/D&gt;&lt;D xsi:type="xsd:double"&gt;3.943801&lt;/D&gt;&lt;D xsi:type="xsd:double"&gt;-1.276958&lt;/D&gt;&lt;D xsi:type="xsd:double"&gt;-1.0945618&lt;/D&gt;&lt;D xsi:type="xsd:double"&gt;-4.6095076&lt;/D&gt;&lt;D xsi:type="xsd:double"&gt;-4.224533&lt;/D&gt;&lt;D xsi:type="xsd:double"&gt;-3.6406636&lt;/D&gt;&lt;D xsi:type="xsd:double"&gt;16.241419&lt;/D&gt;&lt;D xsi:type="xsd:double"&gt;6.6694856&lt;/D&gt;&lt;D xsi:type="xsd:double"&gt;-3.1865776&lt;/D&gt;&lt;D xsi:type="xsd:double"&gt;4.291618&lt;/D&gt;&lt;D xsi:type="xsd:double"&gt;-2.7208984&lt;/D&gt;&lt;D xsi:type="xsd:double"&gt;1.1725426&lt;/D&gt;&lt;D xsi:type="xsd:double"&gt;0.6438613&lt;/D&gt;&lt;D xsi:type="xsd:double"&gt;1.7593026&lt;/D&gt;&lt;D xsi:type="xsd:double"&gt;3.6538482&lt;/D&gt;&lt;D xsi:type="xsd:double"&gt;-1.7706573&lt;/D&gt;&lt;D xsi:type="xsd:double"&gt;3.0156016&lt;/D&gt;&lt;D xsi:type="xsd:double"&gt;-4.0878115&lt;/D&gt;&lt;D xsi:type="xsd:double"&gt;0.118386745&lt;/D&gt;&lt;D xsi:type="xsd:double"&gt;1.4307022&lt;/D&gt;&lt;D xsi:type="xsd:double"&gt;7.168174&lt;/D&gt;&lt;D xsi:type="xsd:double"&gt;1.2127995&lt;/D&gt;&lt;D xsi:type="xsd:double"&gt;2.4328232&lt;/D&gt;&lt;D xsi:type="xsd:double"&gt;9.783769&lt;/D&gt;&lt;D xsi:type="xsd:double"&gt;-2.9383242&lt;/D&gt;&lt;D xsi:type="xsd:double"&gt;2.0362496&lt;/D&gt;&lt;D xsi:type="xsd:double"&gt;3.8170457&lt;/D&gt;&lt;D xsi:type="xsd:double"&gt;-6.6560984&lt;/D&gt;&lt;D xsi:type="xsd:double"&gt;-2.3090005&lt;/D&gt;&lt;D xsi:type="xsd:double"&gt;-1.703161&lt;/D&gt;&lt;D xsi:type="xsd:double"&gt;-0.14144778&lt;/D&gt;&lt;D xsi:type="xsd:double"&gt;3.0639052&lt;/D&gt;&lt;D xsi:type="xsd:double"&gt;11.789322&lt;/D&gt;&lt;D xsi:type="xsd:double"&gt;-0.062406063&lt;/D&gt;&lt;D xsi:type="xsd:double"&gt;1.2176037&lt;/D&gt;&lt;D xsi:type="xsd:double"&gt;7.6496124&lt;/D&gt;&lt;D xsi:type="xsd:double"&gt;-6.5902653&lt;/D&gt;&lt;D xsi:type="xsd:double"&gt;5.405581&lt;/D&gt;&lt;D xsi:type="xsd:double"&gt;-0.82208514&lt;/D&gt;&lt;D xsi:type="xsd:double"&gt;-4.766136&lt;/D&gt;&lt;D xsi:type="xsd:double"&gt;-7.4603615&lt;/D&gt;&lt;D xsi:type="xsd:double"&gt;-3.7285864&lt;/D&gt;&lt;D xsi:type="xsd:double"&gt;5.4082274&lt;/D&gt;&lt;D xsi:type="xsd:double"&gt;3.368795&lt;/D&gt;&lt;D xsi:type="xsd:double"&gt;1.5559196&lt;/D&gt;&lt;D xsi:type="xsd:double"&gt;-7.7561436&lt;/D&gt;&lt;D xsi:type="xsd:double"&gt;-22.145325&lt;/D&gt;&lt;D xsi:type="xsd:double"&gt;8.444441&lt;/D&gt;&lt;D xsi:type="xsd:double"&gt;6.188524&lt;/D&gt;&lt;D xsi:type="xsd:double"&gt;5.3418756&lt;/D&gt;&lt;D xsi:type="xsd:double"&gt;1.154995&lt;/D&gt;&lt;D xsi:type="xsd:double"&gt;4.677713&lt;/D&gt;&lt;D xsi:type="xsd:double"&gt;5.0668597&lt;/D&gt;&lt;D xsi:type="xsd:double"&gt;1.9089103&lt;/D&gt;&lt;D xsi:type="xsd:double"&gt;0.9858608&lt;/D&gt;&lt;D xsi:type="xsd:double"&gt;2.263701&lt;/D&gt;&lt;D xsi:type="xsd:double"&gt;1.117146&lt;/D&gt;&lt;D xsi:type="xsd:double"&gt;2.6830792&lt;/D&gt;&lt;D xsi:type="xsd:double"&gt;4.8570633&lt;/D&gt;&lt;D xsi:type="xsd:double"&gt;8.795071&lt;/D&gt;&lt;D xsi:type="xsd:double"&gt;2.7216315&lt;/D&gt;&lt;D xsi:type="xsd:double"&gt;2.9024363&lt;/D&gt;&lt;D xsi:type="xsd:double"&gt;-1.3381362&lt;/D&gt;&lt;D xsi:type="xsd:double"&gt;6.572771&lt;/D&gt;&lt;D xsi:type="xsd:double"&gt;2.0313263&lt;/D&gt;&lt;D xsi:type="xsd:double"&gt;4.5814395&lt;/D&gt;&lt;D xsi:type="xsd:double"&gt;-1.3532102&lt;/D&gt;&lt;D xsi:type="xsd:double"&gt;-4.528594&lt;/D&gt;&lt;D xsi:type="xsd:double"&gt;10.245824&lt;/D&gt;&lt;D xsi:type="xsd:double"&gt;1.5572906&lt;/D&gt;&lt;D xsi:type="xsd:double"&gt;3.3954024&lt;/D&gt;&lt;D xsi:type="xsd:double"&gt;6.3559294&lt;/D&gt;&lt;D xsi:type="xsd:double"&gt;-9.960156&lt;/D&gt;&lt;D xsi:type="xsd:double"&gt;-5.614245&lt;/D&gt;&lt;D xsi:type="xsd:double"&gt;0.16528368&lt;/D&gt;&lt;D xsi:type="xsd:double"&gt;7.6850653&lt;/D&gt;&lt;D xsi:type="xsd:double"&gt;-8.975476&lt;/D&gt;&lt;D xsi:type="xsd:double"&gt;3.9923072&lt;/D&gt;&lt;D xsi:type="xsd:double"&gt;-6.0592117&lt;/D&gt;&lt;D xsi:type="xsd:double"&gt;-8.630669&lt;/D&gt;&lt;D xsi:type="xsd:double"&gt;5.6644797&lt;/D&gt;&lt;D xsi:type="xsd:double"&gt;-2.190715&lt;/D&gt;&lt;D xsi:type="xsd:double"&gt;-5.0592957&lt;/D&gt;&lt;D xsi:type="xsd:double"&gt;12.628376&lt;/D&gt;&lt;D xsi:type="xsd:double"&gt;1.9467592&lt;/D&gt;&lt;D xsi:type="xsd:double"&gt;2.5326848&lt;/D&gt;&lt;D xsi:type="xsd:double"&gt;0.7395029&lt;/D&gt;&lt;D xsi:type="xsd:double"&gt;-3.836131&lt;/D&gt;&lt;D xsi:type="xsd:double"&gt;-3.250432&lt;/D&gt;&lt;D xsi:type="xsd:double"&gt;-4.5049667&lt;/D&gt;&lt;D xsi:type="xsd:double"&gt;5.810237&lt;/D&gt;&lt;D xsi:type="xsd:double"&gt;5.894208&lt;/D&gt;&lt;D xsi:type="xsd:double"&gt;1.9299865&lt;/D&gt;&lt;D xsi:type="xsd:double"&gt;5.3676963&lt;/D&gt;&lt;D xsi:type="xsd:double"&gt;0.5610466&lt;/D&gt;&lt;D xsi:type="xsd:double"&gt;-3.5706341&lt;/D&gt;&lt;D xsi:type="xsd:double"&gt;-1.5274227&lt;/D&gt;&lt;D xsi:type="xsd:double"&gt;-1.602006&lt;/D&gt;&lt;D xsi:type="xsd:double"&gt;1.9151568&lt;/D&gt;&lt;/FQL&gt;&lt;FQL&gt;&lt;Q&gt;EPOL^FG_TOTAL_RETURNC(-10AY,0,AM)&lt;/Q&gt;&lt;R&gt;121&lt;/R&gt;&lt;C&gt;1&lt;/C&gt;&lt;D xsi:type="xsd:double"&gt;-4.1553793&lt;/D&gt;&lt;D xsi:type="xsd:double"&gt;-0.34270287&lt;/D&gt;&lt;D xsi:type="xsd:double"&gt;0.8940816&lt;/D&gt;&lt;D xsi:type="xsd:double"&gt;-7.3619604&lt;/D&gt;&lt;D xsi:type="xsd:double"&gt;-0.11037588&lt;/D&gt;&lt;D xsi:type="xsd:double"&gt;-7.6773643&lt;/D&gt;&lt;D xsi:type="xsd:double"&gt;-8.040815&lt;/D&gt;&lt;D xsi:type="xsd:double"&gt;4.8823714&lt;/D&gt;&lt;D xsi:type="xsd:double"&gt;-3.3432066&lt;/D&gt;&lt;D xsi:type="xsd:double"&gt;8.493876&lt;/D&gt;&lt;D xsi:type="xsd:double"&gt;4.1162133&lt;/D&gt;&lt;D xsi:type="xsd:double"&gt;-9.534878&lt;/D&gt;&lt;D xsi:type="xsd:double"&gt;-1.9236565&lt;/D&gt;&lt;D xsi:type="xsd:double"&gt;-2.6443362&lt;/D&gt;&lt;D xsi:type="xsd:double"&gt;-1.6296983&lt;/D&gt;&lt;D xsi:type="xsd:double"&gt;0.09204149&lt;/D&gt;&lt;D xsi:type="xsd:double"&gt;-9.999996&lt;/D&gt;&lt;D xsi:type="xsd:double"&gt;-7.0753517&lt;/D&gt;&lt;D xsi:type="xsd:double"&gt;-10.901367&lt;/D&gt;&lt;D xsi:type="xsd:double"&gt;12.132586&lt;/D&gt;&lt;D xsi:type="xsd:double"&gt;9.760178&lt;/D&gt;&lt;D xsi:type="xsd:double"&gt;0.25405884&lt;/D&gt;&lt;D xsi:type="xsd:double"&gt;-12.214899&lt;/D&gt;&lt;D xsi:type="xsd:double"&gt;-1.7898381&lt;/D&gt;&lt;D xsi:type="xsd:double"&gt;2.0650625&lt;/D&gt;&lt;D xsi:type="xsd:double"&gt;7.043886&lt;/D&gt;&lt;D xsi:type="xsd:double"&gt;-2.26537&lt;/D&gt;&lt;D xsi:type="xsd:double"&gt;-0.883013&lt;/D&gt;&lt;D xsi:type="xsd:double"&gt;-7.850778&lt;/D&gt;&lt;D xsi:type="xsd:double"&gt;8.942604&lt;/D&gt;&lt;D xsi:type="xsd:double"&gt;8.225357&lt;/D&gt;&lt;D xsi:type="xsd:double"&gt;9.822369&lt;/D&gt;&lt;D xsi:type="xsd:double"&gt;7.040906&lt;/D&gt;&lt;D xsi:type="xsd:double"&gt;-1.4666677&lt;/D&gt;&lt;D xsi:type="xsd:double"&gt;9.021198&lt;/D&gt;&lt;D xsi:type="xsd:double"&gt;-0.7861018&lt;/D&gt;&lt;D xsi:type="xsd:double"&gt;6.6153646&lt;/D&gt;&lt;D xsi:type="xsd:double"&gt;-0.23547411&lt;/D&gt;&lt;D xsi:type="xsd:double"&gt;7.5924516&lt;/D&gt;&lt;D xsi:type="xsd:double"&gt;-1.3162732&lt;/D&gt;&lt;D xsi:type="xsd:double"&gt;-1.4079273&lt;/D&gt;&lt;D xsi:type="xsd:double"&gt;1.6508222&lt;/D&gt;&lt;D xsi:type="xsd:double"&gt;10.405707&lt;/D&gt;&lt;D xsi:type="xsd:double"&gt;-5.988431&lt;/D&gt;&lt;D xsi:type="xsd:double"&gt;-8.251894&lt;/D&gt;&lt;D xsi:type="xsd:double"&gt;4.14201&lt;/D&gt;&lt;D xsi:type="xsd:double"&gt;-11.325759&lt;/D&gt;&lt;D xsi:type="xsd:double"&gt;-6.587708&lt;/D&gt;&lt;D xsi:type="xsd:double"&gt;2.1967888&lt;/D&gt;&lt;D xsi:type="xsd:double"&gt;2.7765393&lt;/D&gt;&lt;D xsi:type="xsd:double"&gt;3.1372547&lt;/D&gt;&lt;D xsi:type="xsd:double"&gt;-4.816222&lt;/D&gt;&lt;D xsi:type="xsd:double"&gt;-1.420337&lt;/D&gt;&lt;D xsi:type="xsd:double"&gt;6.080818&lt;/D&gt;&lt;D xsi:type="xsd:double"&gt;3.2258034&lt;/D&gt;&lt;D xsi:type="xsd:double"&gt;-3.2083333&lt;/D&gt;&lt;D xsi:type="xsd:double"&gt;2.2815347&lt;/D&gt;&lt;D xsi:type="xsd:double"&gt;-0.7154882&lt;/D&gt;&lt;D xsi:type="xsd:double"&gt;-9.580332&lt;/D&gt;&lt;D xsi:type="xsd:double"&gt;9.287703&lt;/D&gt;&lt;D xsi:type="xsd:double"&gt;1.1602998&lt;/D&gt;&lt;D xsi:type="xsd:double"&gt;-12.701792&lt;/D&gt;&lt;D xsi:type="xsd:double"&gt;3.64964&lt;/D&gt;&lt;D xsi:type="xsd:double"&gt;1.0798216&lt;/D&gt;&lt;D xsi:type="xsd:double"&gt;0.8360386&lt;/D&gt;&lt;D xsi:type="xsd:double"&gt;-1.6941309&lt;/D&gt;&lt;D xsi:type="xsd:double"&gt;3.405273&lt;/D&gt;&lt;D xsi:type="xsd:double"&gt;-7.305187&lt;/D&gt;&lt;D xsi:type="xsd:double"&gt;-35.001255&lt;/D&gt;&lt;D xsi:type="xsd:double"&gt;15.16552&lt;/D&gt;&lt;D xsi:type="xsd:double"&gt;-0.73528886&lt;/D&gt;&lt;D xsi:type="xsd:double"&gt;15.180755&lt;/D&gt;&lt;D xsi:type="xsd:double"&gt;1.653862&lt;/D&gt;&lt;D xsi:type="xsd:double"&gt;5.9849024&lt;/D&gt;&lt;D xsi:type="xsd:double"&gt;-6.2499943&lt;/D&gt;&lt;D xsi:type="xsd:double"&gt;-9.239763&lt;/D&gt;&lt;D xsi:type="xsd:double"&gt;11.275768&lt;/D&gt;&lt;D xsi:type="xsd:double"&gt;11.23004&lt;/D&gt;&lt;D xsi:type="xsd:double"&gt;0.78492165&lt;/D&gt;&lt;D xsi:type="xsd:double"&gt;2.4402857&lt;/D&gt;&lt;D xsi:type="xsd:double"&gt;-6.842375&lt;/D&gt;&lt;D xsi:type="xsd:double"&gt;6.0935855&lt;/D&gt;&lt;D xsi:type="xsd:double"&gt;8.256412&lt;/D&gt;&lt;D xsi:type="xsd:double"&gt;1.45787&lt;/D&gt;&lt;D xsi:type="xsd:double"&gt;-2.106744&lt;/D&gt;&lt;D xsi:type="xsd:double"&gt;2.7737975&lt;/D&gt;&lt;D xsi:type="xsd:double"&gt;5.281532&lt;/D&gt;&lt;D xsi:type="xsd:double"&gt;5.1933646&lt;/D&gt;&lt;D xsi:type="xsd:double"&gt;-12.815124&lt;/D&gt;&lt;D xsi:type="xsd:double"&gt;-2.4328172&lt;/D&gt;&lt;D xsi:type="xsd:double"&gt;9.585619&lt;/D&gt;&lt;D xsi:type="xsd:double"&gt;-7.7904344&lt;/D&gt;&lt;D xsi:type="xsd:double"&gt;-8.00395&lt;/D&gt;&lt;D xsi:type="xsd:double"&gt;-1.9334078&lt;/D&gt;&lt;D xsi:</t>
        </r>
      </text>
    </comment>
    <comment ref="A4" authorId="0" shapeId="0" xr:uid="{9304DAC4-C423-4B1D-AB48-AF27432F674B}">
      <text>
        <r>
          <rPr>
            <b/>
            <sz val="9"/>
            <color indexed="81"/>
            <rFont val="Tahoma"/>
            <charset val="1"/>
          </rPr>
          <t>type="xsd:double"&gt;-14.676893&lt;/D&gt;&lt;D xsi:type="xsd:double"&gt;-5.9554935&lt;/D&gt;&lt;D xsi:type="xsd:double"&gt;-4.063362&lt;/D&gt;&lt;D xsi:type="xsd:double"&gt;-1.722908&lt;/D&gt;&lt;D xsi:type="xsd:double"&gt;-7.9620123&lt;/D&gt;&lt;D xsi:type="xsd:double"&gt;-12.380958&lt;/D&gt;&lt;D xsi:type="xsd:double"&gt;30.978262&lt;/D&gt;&lt;D xsi:type="xsd:double"&gt;4.146993&lt;/D&gt;&lt;D xsi:type="xsd:double"&gt;11.351347&lt;/D&gt;&lt;D xsi:type="xsd:double"&gt;-3.3980548&lt;/D&gt;&lt;D xsi:type="xsd:double"&gt;-9.359294&lt;/D&gt;&lt;D xsi:type="xsd:double"&gt;18.295216&lt;/D&gt;&lt;D xsi:type="xsd:double"&gt;5.0380826&lt;/D&gt;&lt;D xsi:type="xsd:double"&gt;7.808137&lt;/D&gt;&lt;D xsi:type="xsd:double"&gt;8.4842205&lt;/D&gt;&lt;D xsi:type="xsd:double"&gt;-8.106815&lt;/D&gt;&lt;D xsi:type="xsd:double"&gt;-9.548521&lt;/D&gt;&lt;D xsi:type="xsd:double"&gt;8.663225&lt;/D&gt;&lt;D xsi:type="xsd:double"&gt;13.938749&lt;/D&gt;&lt;D xsi:type="xsd:double"&gt;8.34105&lt;/D&gt;&lt;D xsi:type="xsd:double"&gt;-6.761628&lt;/D&gt;&lt;D xsi:type="xsd:double"&gt;6.8460703&lt;/D&gt;&lt;D xsi:type="xsd:double"&gt;0.9721637&lt;/D&gt;&lt;D xsi:type="xsd:double"&gt;2.013123&lt;/D&gt;&lt;D xsi:type="xsd:double"&gt;10.982418&lt;/D&gt;&lt;D xsi:type="xsd:double"&gt;-7.377201&lt;/D&gt;&lt;D xsi:type="xsd:double"&gt;3.6989808&lt;/D&gt;&lt;/FQL&gt;&lt;FQL&gt;&lt;Q&gt;EWZ^FMA_DIV_YLD(NTMA,-10AY,0,AM,"PORTAGG","MEANR")&lt;/Q&gt;&lt;R&gt;121&lt;/R&gt;&lt;C&gt;1&lt;/C&gt;&lt;D xsi:type="xsd:double"&gt;3.7721534909077&lt;/D&gt;&lt;D xsi:type="xsd:double"&gt;3.6724969616498&lt;/D&gt;&lt;D xsi:type="xsd:double"&gt;3.73063472219613&lt;/D&gt;&lt;D xsi:type="xsd:double"&gt;3.72535998650366&lt;/D&gt;&lt;D xsi:type="xsd:double"&gt;3.78910106755774&lt;/D&gt;&lt;D xsi:type="xsd:double"&gt;4.23500721272727&lt;/D&gt;&lt;D xsi:type="xsd:double"&gt;4.12277516836964&lt;/D&gt;&lt;D xsi:type="xsd:double"&gt;3.96272351405083&lt;/D&gt;&lt;D xsi:type="xsd:double"&gt;3.9112826037615&lt;/D&gt;&lt;D xsi:type="xsd:double"&gt;3.65560803886743&lt;/D&gt;&lt;D xsi:type="xsd:double"&gt;3.67466122706382&lt;/D&gt;&lt;D xsi:type="xsd:double"&gt;3.88306512293279&lt;/D&gt;&lt;D xsi:type="xsd:double"&gt;3.85574442396407&lt;/D&gt;&lt;D xsi:type="xsd:double"&gt;4.16378708807046&lt;/D&gt;&lt;D xsi:type="xsd:double"&gt;4.28317121504718&lt;/D&gt;&lt;D xsi:type="xsd:double"&gt;4.02511292071434&lt;/D&gt;&lt;D xsi:type="xsd:double"&gt;3.90968141867775&lt;/D&gt;&lt;D xsi:type="xsd:double"&gt;4.13985489386586&lt;/D&gt;&lt;D xsi:type="xsd:double"&gt;4.94739160380793&lt;/D&gt;&lt;D xsi:type="xsd:double"&gt;4.25983988126642&lt;/D&gt;&lt;D xsi:type="xsd:double"&gt;3.27416057008348&lt;/D&gt;&lt;D xsi:type="xsd:double"&gt;3.10774318811618&lt;/D&gt;&lt;D xsi:type="xsd:double"&gt;3.39980673689349&lt;/D&gt;&lt;D xsi:type="xsd:double"&gt;3.45663343874052&lt;/D&gt;&lt;D xsi:type="xsd:double"&gt;2.96270675904668&lt;/D&gt;&lt;D xsi:type="xsd:double"&gt;2.99745912705934&lt;/D&gt;&lt;D xsi:type="xsd:double"&gt;3.17370504719278&lt;/D&gt;&lt;D xsi:type="xsd:double"&gt;2.87131914725019&lt;/D&gt;&lt;D xsi:type="xsd:double"&gt;3.15818018165221&lt;/D&gt;&lt;D xsi:type="xsd:double"&gt;3.68104203405585&lt;/D&gt;&lt;D xsi:type="xsd:double"&gt;3.37484935919109&lt;/D&gt;&lt;D xsi:type="xsd:double"&gt;3.31815526873272&lt;/D&gt;&lt;D xsi:type="xsd:double"&gt;3.6343308778012&lt;/D&gt;&lt;D xsi:type="xsd:double"&gt;3.68740104538116&lt;/D&gt;&lt;D xsi:type="xsd:double"&gt;3.77189342152939&lt;/D&gt;&lt;D xsi:type="xsd:double"&gt;3.69819462793424&lt;/D&gt;&lt;D xsi:type="xsd:double"&gt;3.50348510106026&lt;/D&gt;&lt;D xsi:type="xsd:double"&gt;3.37258072560773&lt;/D&gt;&lt;D xsi:type="xsd:double"&gt;3.11479570760413&lt;/D&gt;&lt;D xsi:type="xsd:double"&gt;3.18641756921999&lt;/D&gt;&lt;D xsi:type="xsd:double"&gt;3.41703934926218&lt;/D&gt;&lt;D xsi:type="xsd:double"&gt;3.57635972525449&lt;/D&gt;&lt;D xsi:type="xsd:double"&gt;3.28266055389567&lt;/D&gt;&lt;D xsi:type="xsd:double"&gt;3.37924466425463&lt;/D&gt;&lt;D xsi:type="xsd:double"&gt;3.51286744391933&lt;/D&gt;&lt;D xsi:type="xsd:double"&gt;3.60937937928288&lt;/D&gt;&lt;D xsi:type="xsd:double"&gt;3.85251722569635&lt;/D&gt;&lt;D xsi:type="xsd:double"&gt;4.47751135125146&lt;/D&gt;&lt;D xsi:type="xsd:double"&gt;4.24098929981883&lt;/D&gt;&lt;D xsi:type="xsd:double"&gt;4.36001871682618&lt;/D&gt;&lt;D xsi:type="xsd:double"&gt;4.33124691087552&lt;/D&gt;&lt;D xsi:type="xsd:double"&gt;4.07287103299217&lt;/D&gt;&lt;D xsi:type="xsd:double"&gt;3.92298661883526&lt;/D&gt;&lt;D xsi:type="xsd:double"&gt;4.07708560221494&lt;/D&gt;&lt;D xsi:type="xsd:double"&gt;3.71391070436455&lt;/D&gt;&lt;D xsi:type="xsd:double"&gt;3.49127995494937&lt;/D&gt;&lt;D xsi:type="xsd:double"&gt;3.30481689420776&lt;/D&gt;&lt;D xsi:type="xsd:double"&gt;3.47810423248706&lt;/D&gt;&lt;D xsi:type="xsd:double"&gt;3.6888977311043&lt;/D&gt;&lt;D xsi:type="xsd:double"&gt;3.09307618195273&lt;/D&gt;&lt;D xsi:type="xsd:double"&gt;3.13767959989313&lt;/D&gt;&lt;D xsi:type="xsd:double"&gt;3.41032000116096&lt;/D&gt;&lt;D xsi:type="xsd:double"&gt;3.22368578960916&lt;/D&gt;&lt;D xsi:type="xsd:double"&gt;3.34479676941303&lt;/D&gt;&lt;D xsi:type="xsd:double"&gt;3.30195585788493&lt;/D&gt;&lt;D xsi:type="xsd:double"&gt;3.13520740576961&lt;/D&gt;&lt;D xsi:type="xsd:double"&gt;3.08138262888437&lt;/D&gt;&lt;D xsi:type="xsd:double"&gt;3.07315416170908&lt;/D&gt;&lt;D xsi:type="xsd:double"&gt;5.20561940186869&lt;/D&gt;&lt;D xsi:type="xsd:double"&gt;4.01540908970612&lt;/D&gt;&lt;D xsi:type="xsd:double"&gt;3.63885559206211&lt;/D&gt;&lt;D xsi:type="xsd:double"&gt;2.86717194568011&lt;/D&gt;&lt;D xsi:type="xsd:double"&gt;2.67903546951963&lt;/D&gt;&lt;D xsi:type="xsd:double"&gt;2.80634900384509&lt;/D&gt;&lt;D xsi:type="xsd:double"&gt;3.36433961240922&lt;/D&gt;&lt;D xsi:type="xsd:double"&gt;3.45706212458234&lt;/D&gt;&lt;D xsi:type="xsd:double"&gt;3.44324826583272&lt;/D&gt;&lt;D xsi:type="xsd:double"&gt;3.34876340280676&lt;/D&gt;&lt;D xsi:type="xsd:double"&gt;3.41912372212985&lt;/D&gt;&lt;D xsi:type="xsd:double"&gt;3.79189117891998&lt;/D&gt;&lt;D xsi:type="xsd:double"&gt;4.34290679957781&lt;/D&gt;&lt;D xsi:type="xsd:double"&gt;4.50421950194961&lt;/D&gt;&lt;D xsi:type="xsd:double"&gt;4.71488978208099&lt;/D&gt;&lt;D xsi:type="xsd:double"&gt;4.72643889075378&lt;/D&gt;&lt;D xsi:type="xsd:double"&gt;5.29250943952693&lt;/D&gt;&lt;D xsi:type="xsd:double"&gt;5.90367595481835&lt;/D&gt;&lt;D xsi:type="xsd:double"&gt;6.51600826636576&lt;/D&gt;&lt;D xsi:type="xsd:double"&gt;6.69700116561001&lt;/D&gt;&lt;D xsi:type="xsd:double"&gt;7.7362573041754&lt;/D&gt;&lt;D xsi:type="xsd:double"&gt;7.47752000928057&lt;/D&gt;&lt;D xsi:type="xsd:double"&gt;7.14297735795135&lt;/D&gt;&lt;D xsi:type="xsd:double"&gt;6.87202387880172&lt;/D&gt;&lt;D xsi:type="xsd:double"&gt;9.12051052294825&lt;/D&gt;&lt;D xsi:type="xsd:double"&gt;8.46453806379781&lt;/D&gt;&lt;D xsi:type="xsd:double"&gt;10.229501302889&lt;/D&gt;&lt;D xsi:type="xsd:double"&gt;10.9032024899589&lt;/D&gt;&lt;D xsi:type="xsd:double"&gt;11.4127013267049&lt;/D&gt;&lt;D xsi:type="xsd:double"&gt;10.6266898715082&lt;/D&gt;&lt;D xsi:type="xsd:double"&gt;10.3579756267771&lt;/D&gt;&lt;D xsi:type="xsd:double"&gt;9.26010194750739&lt;/D&gt;&lt;D xsi:type="xsd:double"&gt;8.46326461816935&lt;/D&gt;&lt;D xsi:type="xsd:double"&gt;7.20211607634006&lt;/D&gt;&lt;D xsi:type="xsd:double"&gt;6.57541464913913&lt;/D&gt;&lt;D xsi:type="xsd:double"&gt;6.45826140805183&lt;/D&gt;&lt;D xsi:type="xsd:double"&gt;7.15921607293884&lt;/D&gt;&lt;D xsi:type="xsd:double"&gt;6.65105653449876&lt;/D&gt;&lt;D xsi:type="xsd:double"&gt;6.51508822406145&lt;/D&gt;&lt;D xsi:type="xsd:double"&gt;6.05251823059295&lt;/D&gt;&lt;D xsi:type="xsd:double"&gt;6.08487533921877&lt;/D&gt;&lt;D xsi:type="xsd:double"&gt;6.02048273468908&lt;/D&gt;&lt;D xsi:type="xsd:double"&gt;5.85894649158667&lt;/D&gt;&lt;D xsi:type="xsd:double"&gt;6.28440632897831&lt;/D&gt;&lt;D xsi:type="xsd:double"&gt;6.11773240171688&lt;/D&gt;&lt;D xsi:type="xsd:double"&gt;5.78642482918959&lt;/D&gt;&lt;D xsi:type="xsd:double"&gt;5.82231806008707&lt;/D&gt;&lt;D xsi:type="xsd:double"&gt;5.85638799766037&lt;/D&gt;&lt;D xsi:type="xsd:double"&gt;6.28454392655381&lt;/D&gt;&lt;D xsi:type="xsd:double"&gt;6.3844814849886&lt;/D&gt;&lt;D xsi:type="xsd:double"&gt;6.69164614422392&lt;/D&gt;&lt;D xsi:type="xsd:double"&gt;7.38241428348789&lt;/D&gt;&lt;D xsi:type="xsd:double"&gt;6.56705296427642&lt;/D&gt;&lt;/FQL&gt;&lt;FQL&gt;&lt;Q&gt;SET-BKK^FMA_PE(NTMA,-10AY,0,AM,"PORTAGG","MEANR")&lt;/Q&gt;&lt;R&gt;121&lt;/R&gt;&lt;C&gt;1&lt;/C&gt;&lt;D xsi:type="xsd:double"&gt;14.5446386850911&lt;/D&gt;&lt;D xsi:type="xsd:double"&gt;15.7257280765142&lt;/D&gt;&lt;D xsi:type="xsd:double"&gt;15.9623831048547&lt;/D&gt;&lt;D xsi:type="xsd:double"&gt;15.1146051196524&lt;/D&gt;&lt;D xsi:type="xsd:double"&gt;15.6135908295557&lt;/D&gt;&lt;D xsi:type="xsd:double"&gt;14.908610130844&lt;/D&gt;&lt;D xsi:type="xsd:double"&gt;15.3080307667134&lt;/D&gt;&lt;D xsi:type="xsd:double"&gt;16.1008600071314&lt;/D&gt;&lt;D xsi:type="xsd:double"&gt;15.1353019316766&lt;/D&gt;&lt;D xsi:type="xsd:double"&gt;15.4686431114522&lt;/D&gt;&lt;D xsi:type="xsd:double"&gt;15.5781607705986&lt;/D&gt;&lt;D xsi:type="xsd:double"&gt;15.0714439063349&lt;/D&gt;&lt;D xsi:type="xsd:double"&gt;15.1021129395085&lt;/D&gt;&lt;D xsi:type="xsd:double"&gt;14.084419186214&lt;/D&gt;&lt;D xsi:type="xsd:double"&gt;14.2270590592297&lt;/D&gt;&lt;D xsi:type="xsd:double"&gt;14.4240368919506&lt;/D&gt;&lt;D xsi:type="xsd:double"&gt;13.7573986247217&lt;/D&gt;&lt;D xsi:type="xsd:double"&gt;12.5688727577878&lt;/D&gt;&lt;D xsi:type="xsd:double"&gt;12.6361162723649&lt;/D&gt;&lt;D xsi:type="xsd:double"&gt;13.6157903302458&lt;/D&gt;&lt;D xsi:type="xsd:double"&gt;14.4472508465625&lt;/D&gt;&lt;D xsi:type="xsd:double"&gt;14.6118870837987&lt;/D&gt;&lt;D xsi:type="xsd:double"&gt;14.1794237014037&lt;/D&gt;&lt;D xsi:type="xsd:double"&gt;14.5286279308166&lt;/D&gt;&lt;D xsi:type="xsd:double"&gt;15.1904959968906&lt;/D&gt;&lt;D xsi:type="xsd:double"&gt;15.2753997301494&lt;/D&gt;&lt;D xsi:type="xsd:double"&gt;14.6405024757643&lt;/D&gt;&lt;D xsi:type="xsd:double"&gt;14.5347431404715&lt;/D&gt;&lt;D xsi:type="xsd:double"&gt;14.3932849099911&lt;/D&gt;&lt;D xsi:type="xsd:double"&gt;14.7475658452108&lt;/D&gt;&lt;D xsi:type="xsd:double"&gt;14.9059748253904&lt;/D&gt;&lt;D xsi:type="xsd:double"&gt;15.0811295955032&lt;/D&gt;&lt;D xsi:type="xsd:double"&gt;14.9080257090736&lt;/D&gt;&lt;D xsi:type="xsd:double"&gt;14.837039661089&lt;/D&gt;&lt;D xsi:type="xsd:double"&gt;14.5574128320364&lt;/D&gt;&lt;D xsi:type="xsd:double"&gt;14.8821699003367&lt;/D&gt;&lt;D xsi:type="xsd:double"&gt;14.6413893013363&lt;/D&gt;&lt;D xsi:type="xsd:double"&gt;14.6650443118385&lt;/D&gt;&lt;D xsi:type="xsd:double"&gt;15.5294788515963&lt;/D&gt;&lt;D xsi:type="xsd:double"&gt;15.4386036035317&lt;/D&gt;&lt;D xsi:type="xsd:double"&gt;15.6508901130631&lt;/D&gt;&lt;D xsi:type="xsd:double"&gt;15.7355947719988&lt;/D&gt;&lt;D xsi:type="xsd:double"&gt;16.4294147941333&lt;/D&gt;&lt;D xsi:type="xsd:double"&gt;16.0453262911961&lt;/D&gt;&lt;D xsi:type="xsd:double"&gt;15.5453716014788&lt;/D&gt;&lt;D xsi:type="xsd:double"&gt;15.3797196299298&lt;/D&gt;&lt;D xsi:type="xsd:double"&gt;15.351356326588&lt;/D&gt;&lt;D xsi:type="xsd:double"&gt;14.2342874760862&lt;/D&gt;&lt;D xsi:type="xsd:double"&gt;14.2650153369372&lt;/D&gt;&lt;D xsi:type="xsd:double"&gt;14.5353843625206&lt;/D&gt;&lt;D xsi:type="xsd:double"&gt;15.0225599015108&lt;/D&gt;&lt;D xsi:type="xsd:double"&gt;14.2647045368592&lt;/D&gt;&lt;D xsi:type="xsd:double"&gt;13.9589809111877&lt;/D&gt;&lt;D xsi:type="xsd:double"&gt;13.7966771788958&lt;/D&gt;&lt;D xsi:type="xsd:double"&gt;13.9237088175466&lt;/D&gt;&lt;D xsi:type="xsd:double"&gt;14.6464529142207&lt;/D&gt;&lt;D xsi:type="xsd:double"&gt;14.7834387340653&lt;/D&gt;&lt;D xsi:type="xsd:double"&gt;15.0980193772491&lt;/D&gt;&lt;D xsi:type="xsd:double"&gt;14.5637863931332&lt;/D&gt;&lt;D xsi:type="xsd:double"&gt;15.5902290003296&lt;/D&gt;&lt;D xsi:type="xsd:double"&gt;15.8538024586994&lt;/D&gt;&lt;D xsi:type="xsd:double"&gt;15.1941302102632&lt;/D&gt;&lt;D xsi:type="xsd:double"&gt;15.2752648475294&lt;/D&gt;&lt;D xsi:type="xsd:double"&gt;15.4786461826937&lt;/D&gt;&lt;D xsi:type="xsd:double"&gt;15.7396695229148&lt;/D&gt;&lt;D xsi:type="xsd:double"&gt;15.3080339692189&lt;/D&gt;&lt;D xsi:type="xsd:double"&gt;15.7376733862685&lt;/D&gt;&lt;D xsi:type="xsd:double"&gt;15.206772519027&lt;/D&gt;&lt;D xsi:type="xsd:double"&gt;11.5943334691442&lt;/D&gt;&lt;D xsi:type="xsd:double"&gt;15.0566281792018&lt;/D&gt;&lt;D xsi:type="xsd:double"&gt;18.1372025500655&lt;/D&gt;&lt;D xsi:type="xsd:double"&gt;19.495659467403&lt;/D&gt;&lt;D xsi:type="xsd:double"&gt;19.3228142911555&lt;/D&gt;&lt;D xsi:type="xsd:double"&gt;19.1646555947336&lt;/D&gt;&lt;D xsi:type="xsd:double"&gt;18.9190665429017&lt;/D&gt;&lt;D xsi:type="xsd:double"&gt;17.3274116788625&lt;/D&gt;&lt;D xsi:type="xsd:double"&gt;18.7483587636833&lt;/D&gt;&lt;D xsi:type="xsd:double"&gt;19.3802832060126&lt;/D&gt;&lt;D xsi:type="xsd:double"&gt;20.0709822046765&lt;/D&gt;&lt;D xsi:type="xsd:double"&gt;19.1906983514628&lt;/D&gt;&lt;D xsi:type="xsd:double"&gt;19.5052576725296&lt;/D&gt;&lt;D xsi:type="xsd:double"&gt;19.1049185734868&lt;/D&gt;&lt;D xsi:type="xsd:double"&gt;17.6846863340515&lt;/D&gt;&lt;D xsi:type="xsd:double"&gt;17.8084851528214&lt;/D&gt;&lt;D xsi:type="xsd:double"&gt;16.8880633669716&lt;/D&gt;&lt;D xsi:type="xsd:double"&gt;16.7759693450281&lt;/D&gt;&lt;D xsi:type="xsd:double"&gt;17.5152952444935&lt;/D&gt;&lt;D xsi:type="xsd:double"&gt;17.302861730117&lt;/D&gt;&lt;D xsi:type="xsd:double"&gt;17.4894935215298&lt;/D&gt;&lt;D xsi:type="xsd:double"&gt;17.1089118734041&lt;/D&gt;&lt;D xsi:type="xsd:double"&gt;17.2796444545507&lt;/D&gt;&lt;D xsi:type="xsd:double"&gt;17.6300519578113&lt;/D&gt;&lt;D xsi:type="xsd:double"&gt;17.0491697982809&lt;/D&gt;&lt;D xsi:type="xsd:double"&gt;16.6064907421142&lt;/D&gt;&lt;D xsi:type="xsd:double"&gt;15.916301434614&lt;/D&gt;&lt;D xsi:type="xsd:double"&gt;15.1457237135107&lt;/D&gt;&lt;D xsi:type="xsd:double"&gt;14.8354597960632&lt;/D&gt;&lt;D xsi:type="xsd:double"&gt;15.4875457047327&lt;/D&gt;&lt;D xsi:type="xsd:double"&gt;15.4031765553932&lt;/D&gt;&lt;D xsi:type="xsd:double"&gt;15.1233789432764&lt;/D&gt;&lt;D xsi:type="xsd:double"&gt;15.5600871551818&lt;/D&gt;&lt;D xsi:type="xsd:double"&gt;15.5144145521307&lt;/D&gt;&lt;D xsi:type="xsd:double"&gt;16.0415013512941&lt;/D&gt;&lt;D xsi:type="xsd:double"&gt;15.8946070746456&lt;/D&gt;&lt;D xsi:type="xsd:double"&gt;15.3366922636374&lt;/D&gt;&lt;D xsi:type="xsd:double"&gt;15.6624460396625&lt;/D&gt;&lt;D xsi:type="xsd:double"&gt;15.3643388564591&lt;/D&gt;&lt;D xsi:type="xsd:double"&gt;15.9034520200536&lt;/D&gt;&lt;D xsi:type="xsd:double"&gt;15.8935698092988&lt;/D&gt;&lt;D xsi:type="xsd:double"&gt;15.7186152904575&lt;/D&gt;&lt;D xsi:type="xsd:double"&gt;15.6452013053411&lt;/D&gt;&lt;D xsi:type="xsd:double"&gt;14.5837783751168&lt;/D&gt;&lt;D xsi:type="xsd:double"&gt;14.6288784731208&lt;/D&gt;&lt;D xsi:type="xsd:double"&gt;14.3793021497889&lt;/D&gt;&lt;D xsi:type="xsd:double"&gt;14.2428411770459&lt;/D&gt;&lt;D xsi:type="xsd:double"&gt;14.3601763299654&lt;/D&gt;&lt;D xsi:type="xsd:double"&gt;14.3230820239352&lt;/D&gt;&lt;D xsi:type="xsd:double"&gt;13.7749145556245&lt;/D&gt;&lt;D xsi:type="xsd:double"&gt;14.3357191596964&lt;/D&gt;&lt;D xsi:type="xsd:double"&gt;13.3924969168135&lt;/D&gt;&lt;D xsi:type="xsd:double"&gt;13.5190261658133&lt;/D&gt;&lt;/FQL&gt;&lt;FQL&gt;&lt;Q&gt;MCHI^FMA_ROE(NTMA,-20AY,NOW,FY,"PORTAGG","MEANR")&lt;/Q&gt;&lt;R&gt;20&lt;/R&gt;&lt;C&gt;1&lt;/C&gt;&lt;D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xsi:type="xsd:double"&gt;16.2489448712134&lt;/D&gt;&lt;D xsi:type="xsd:double"&gt;14.7844836511748&lt;/D&gt;&lt;D xsi:type="xsd:double"&gt;14.7477410048543&lt;/D&gt;&lt;D xsi:type="xsd:double"&gt;13.8220324417748&lt;/D&gt;&lt;D xsi:type="xsd:double"&gt;12.2640889399399&lt;/D&gt;&lt;D xsi:type="xsd:double"&gt;12.007707790005&lt;/D&gt;&lt;D xsi:type="xsd:double"&gt;13.3821124977803&lt;/D&gt;&lt;D xsi:type="xsd:double"&gt;13.2137488528733&lt;/D&gt;&lt;D xsi:type="xsd:double"&gt;12.8854006393898&lt;/D&gt;&lt;D xsi:type="xsd:double"&gt;12.3573132047093&lt;/D&gt;&lt;D xsi:type="xsd:double"&gt;11.9734420105209&lt;/D&gt;&lt;D xsi:type="xsd:double"&gt;11.5494541520433&lt;/D&gt;&lt;D xsi:type="xsd:double"&gt;11.5624016356405&lt;/D&gt;&lt;/FQL&gt;&lt;FQL&gt;&lt;Q&gt;TRYCN10Y-FDS^FG_YIELD(-10AY,0,Y,,"YTM")&lt;/Q&gt;&lt;R&gt;10&lt;/R&gt;&lt;C&gt;1&lt;/C&gt;&lt;D xsi:type="xsd:double"&gt;3.653331&lt;/D&gt;&lt;D xsi:type="xsd:double"&gt;2.901145&lt;/D&gt;&lt;D xsi:type="xsd:double"&gt;3.070911&lt;/D&gt;&lt;D xsi:type="xsd:double"&gt;3.93859&lt;/D&gt;&lt;D xsi:type="xsd:double"&gt;3.259862&lt;/D&gt;&lt;D xsi:type="xsd:double"&gt;3.197311&lt;/D&gt;&lt;D xsi:type="xsd:double"&gt;3.1948&lt;/D&gt;&lt;D xsi:type="xsd:double"&gt;2.7893&lt;/D&gt;&lt;D xsi:type="xsd:double"&gt;2.855&lt;/D&gt;&lt;D xsi:type="xsd:double"&gt;2.574&lt;/D&gt;&lt;/FQL&gt;&lt;FQL&gt;&lt;Q&gt;CAGDPY@AE^EE_ACTUAL_ANNUAL(MED,+1)&lt;/Q&gt;&lt;R&gt;1&lt;/R&gt;&lt;C&gt;1&lt;/C&gt;&lt;D xsi:type="xsd:double"&gt;9.4&lt;/D&gt;&lt;/FQL&gt;&lt;FQL&gt;&lt;Q&gt;CAGDPY@BR^EE_ACTUAL_ANNUAL(MED,+1)&lt;/Q&gt;&lt;R&gt;1&lt;/R&gt;&lt;C&gt;1&lt;/C&gt;&lt;D xsi:type="xsd:double"&gt;-1.5&lt;/D&gt;&lt;/FQL&gt;&lt;FQL&gt;&lt;Q&gt;CAGDPY@ID^EE_ACTUAL_ANNUAL(MED,+1)&lt;/Q&gt;&lt;R&gt;1&lt;/R&gt;&lt;C&gt;1&lt;/C&gt;&lt;D xsi:type="xsd:double"&gt;-0.66&lt;/D&gt;&lt;/FQL&gt;&lt;FQL&gt;&lt;Q&gt;CC_BR^FG_COMPANY_NAME&lt;/Q&gt;&lt;R&gt;1&lt;/R&gt;&lt;C&gt;1&lt;/C&gt;&lt;D xsi:type="xsd:string"&gt;Brazil&lt;/D&gt;&lt;/FQL&gt;&lt;FQL&gt;&lt;Q&gt;INDA^FMA_ROE(NTMA,-20AY,NOW,FY,"PORTAGG","MEANR")&lt;/Q&gt;&lt;R&gt;20&lt;/R&gt;&lt;C&gt;1&lt;/C&gt;&lt;D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xsi:type="xsd:double"&gt;15.6108197056138&lt;/D&gt;&lt;D xsi:type="xsd:double"&gt;16.0962597956391&lt;/D&gt;&lt;D xsi:type="xsd:double"&gt;15.7612771435553&lt;/D&gt;&lt;D xsi:type="xsd:double"&gt;15.9055421047158&lt;/D&gt;&lt;D xsi:type="xsd:double"&gt;15.6930916584344&lt;/D&gt;&lt;D xsi:type="xsd:double"&gt;15.3154529754558&lt;/D&gt;&lt;D xsi:type="xsd:double"&gt;14.6122050459717&lt;/D&gt;&lt;D xsi:type="xsd:double"&gt;14.5354846163082&lt;/D&gt;&lt;D xsi:type="xsd:double"&gt;12.8423838949759&lt;/D&gt;&lt;D xsi:type="xsd:double"&gt;15.1612174104353&lt;/D&gt;&lt;D xsi:type="xsd:double"&gt;14.9253869800942&lt;/D&gt;&lt;D xsi:type="xsd:double"&gt;16.0812406780599&lt;/D&gt;&lt;/FQL&gt;&lt;FQL&gt;&lt;Q&gt;CAGDPY@AE^EE_ACTUAL_ANNUAL(MED,0)&lt;/Q&gt;&lt;R&gt;1&lt;/R&gt;&lt;C&gt;1&lt;/C&gt;&lt;D xsi:type="xsd:double"&gt;12.15&lt;/D&gt;&lt;/FQL&gt;&lt;FQL&gt;&lt;Q&gt;CAGDPY@BR^EE_ACTUAL_ANNUAL(MED,0)&lt;/Q&gt;&lt;R&gt;1&lt;/R&gt;&lt;C&gt;1&lt;/C&gt;&lt;D xsi:type="xsd:double"&gt;-1.41835074191142&lt;/D&gt;&lt;/FQL&gt;&lt;FQL&gt;&lt;Q&gt;CAGDPY@ID^EE_ACTUAL_ANNUAL(MED,0)&lt;/Q&gt;&lt;R&gt;1&lt;/R&gt;&lt;C&gt;1&lt;/C&gt;&lt;D xsi:type="xsd:double"&gt;-0.14&lt;/D&gt;&lt;/FQL&gt;&lt;FQL&gt;&lt;Q&gt;CC_KR^FG_COMPANY_NAME&lt;/Q&gt;&lt;R&gt;1&lt;/R&gt;&lt;C&gt;1&lt;/C&gt;&lt;D xsi:type="xsd:string"&gt;South Korea&lt;/D&gt;&lt;/FQL&gt;&lt;FQL&gt;&lt;Q&gt;USDSAR^FG_PRICE(0)&lt;/Q&gt;&lt;R&gt;1&lt;/R&gt;&lt;C&gt;1&lt;/C&gt;&lt;D xsi:type="xsd:double"&gt;3.7509&lt;/D&gt;&lt;/FQL&gt;&lt;FQL&gt;&lt;Q&gt;USDAED^FG_PRICE(0)&lt;/Q&gt;&lt;R&gt;1&lt;/R&gt;&lt;C&gt;1&lt;/C&gt;&lt;D xsi:type="xsd:double"&gt;3.673&lt;/D&gt;&lt;/FQL&gt;&lt;FQL&gt;&lt;Q&gt;USDTHB^FG_PRICE(0)&lt;/Q&gt;&lt;R&gt;1&lt;/R&gt;&lt;C&gt;1&lt;/C&gt;&lt;D xsi:type="xsd:double"&gt;36.28&lt;/D&gt;&lt;/FQL&gt;&lt;FQL&gt;&lt;Q&gt;USDCNH^FG_PRICE(0)&lt;/Q&gt;&lt;R&gt;1&lt;/R&gt;&lt;C&gt;1&lt;/C&gt;&lt;D xsi:type="xsd:double"&gt;7.28345&lt;/D&gt;&lt;/FQL&gt;&lt;FQL&gt;&lt;Q&gt;USDEUR^FG_PRICE(0)&lt;/Q&gt;&lt;R&gt;1&lt;/R&gt;&lt;C&gt;1&lt;/C&gt;&lt;D xsi:type="xsd:double"&gt;0.9182736&lt;/D&gt;&lt;/FQL&gt;&lt;FQL&gt;&lt;Q&gt;USDBRL^FG_PRICE(0)&lt;/Q&gt;&lt;R&gt;1&lt;/R&gt;&lt;C&gt;1&lt;/C&gt;&lt;D xsi:type="xsd:double"&gt;5.5508&lt;/D&gt;&lt;/FQL&gt;&lt;FQL&gt;&lt;Q&gt;USDMXN^FG_PRICE(0)&lt;/Q&gt;&lt;R&gt;1&lt;/R&gt;&lt;C&gt;1&lt;/C&gt;&lt;D xsi:type="xsd:double"&gt;17.915&lt;/D&gt;&lt;/FQL&gt;&lt;FQL&gt;&lt;Q&gt;USDMYR^FG_PRICE(0)&lt;/Q&gt;&lt;R&gt;1&lt;/R&gt;&lt;C&gt;1&lt;/C&gt;&lt;D xsi:type="xsd:double"&gt;4.6875&lt;/D&gt;&lt;/FQL&gt;&lt;FQL&gt;&lt;Q&gt;USDPLN^FG_PRICE(0)&lt;/Q&gt;&lt;R&gt;1&lt;/R&gt;&lt;C&gt;1&lt;/C&gt;&lt;D xsi:type="xsd:double"&gt;3.936&lt;/D&gt;&lt;/FQL&gt;&lt;FQL&gt;&lt;Q&gt;USDIDR^FG_PRICE(0)&lt;/Q&gt;&lt;R&gt;1&lt;/R&gt;&lt;C&gt;1&lt;/C&gt;&lt;D xsi:type="xsd:double"&gt;16190&lt;/D&gt;&lt;/FQL&gt;&lt;FQL&gt;&lt;Q&gt;GREK^FMA_ROE(NTMA,-20AY,NOW,FY,"PORTAGG","MEANR")&lt;/Q&gt;&lt;R&gt;20&lt;/R&gt;&lt;C&gt;1&lt;/C&gt;&lt;D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xsi:type="xsd:double"&gt;5.18059570882845&lt;/D&gt;&lt;D xsi:type="xsd:double"&gt;5.02924580688049&lt;/D&gt;&lt;D xsi:type="xsd:double"&gt;6.28451178662672&lt;/D&gt;&lt;D xsi:type="xsd:double"&gt;5.47133635917723&lt;/D&gt;&lt;D xsi:type="xsd:double"&gt;4.56601797799517&lt;/D&gt;&lt;D xsi:type="xsd:double"&gt;3.94646034419328&lt;/D&gt;&lt;D xsi:type="xsd:double"&gt;4.24726660688599&lt;/D&gt;&lt;D xsi:type="xsd:double"&gt;5.81002154172499&lt;/D&gt;&lt;D xsi:type="xsd:double"&gt;5.36711218261452&lt;/D&gt;&lt;D xsi:type="xsd:double"&gt;8.82576684666533&lt;/D&gt;&lt;D xsi:type="xsd:double"&gt;11.0341923380188&lt;/D&gt;&lt;D xsi:type="xsd:double"&gt;13.1253657894167&lt;/D&gt;&lt;/FQL&gt;&lt;FQL&gt;&lt;Q&gt;TRYVN10Y-FDS^FG_YIELD(-10AY,0,Y,,"YTM")&lt;/Q&gt;&lt;R&gt;10&lt;/R&gt;&lt;C&gt;1&lt;/C&gt;&lt;D xsi:type="xsd:double"&gt;7.3&lt;/D&gt;&lt;D xsi:type="xsd:double"&gt;6.277413&lt;/D&gt;&lt;D xsi:type="xsd:double"&gt;7.1117578&lt;/D&gt;&lt;D xsi:type="xsd:double"&gt;5.6717234&lt;/D&gt;&lt;D xsi:type="xsd:double"&gt;4.738006&lt;/D&gt;&lt;D xsi:type="xsd:double"&gt;3.5404546&lt;/D&gt;&lt;D xsi:type="xsd:double"&gt;2.4877946&lt;/D&gt;&lt;D xsi:type="xsd:double"&gt;2.059403&lt;/D&gt;&lt;D xsi:type="xsd:double"&gt;4.687226&lt;/D&gt;&lt;D xsi:type="xsd:double"&gt;2.9473283&lt;/D&gt;&lt;/FQL&gt;&lt;FQL&gt;&lt;Q&gt;TRYTW10Y-FDS^FG_YIELD(-10AY,0,Y,,"YTM")&lt;/Q&gt;&lt;R&gt;10&lt;/R&gt;&lt;C&gt;1&lt;/C&gt;&lt;D xsi:type="xsd:double"&gt;1.6015&lt;/D&gt;&lt;D xsi:type="xsd:double"&gt;1.015&lt;/D&gt;&lt;D xsi:type="xsd:double"&gt;1.2037&lt;/D&gt;&lt;D xsi:type="xsd:double"&gt;0.9478&lt;/D&gt;&lt;D xsi:type="xsd:double"&gt;0.8648&lt;/D&gt;&lt;D xsi:type="xsd:double"&gt;0.672&lt;/D&gt;&lt;D xsi:type="xsd:double"&gt;0.315&lt;/D&gt;&lt;D xsi:type="xsd:double"&gt;0.7413&lt;/D&gt;&lt;D xsi:type="xsd:double"&gt;1.2812&lt;/D&gt;&lt;D xsi:type="xsd:double"&gt;1.211&lt;/D&gt;&lt;/FQL&gt;&lt;FQL&gt;&lt;Q&gt;CAGDPY@TR^EE_ACTUAL_ANNUAL(MED,+1)&lt;/Q&gt;&lt;R&gt;1&lt;/R&gt;&lt;C&gt;1&lt;/C&gt;&lt;D xsi:type="xsd:double"&gt;-2.3&lt;/D&gt;&lt;/FQL&gt;&lt;FQL&gt;&lt;Q&gt;CAGDPY@KR^EE_ACTUAL_ANNUAL(MED,+1)&lt;/Q&gt;&lt;R&gt;1&lt;/R&gt;&lt;C&gt;1&lt;/C&gt;&lt;D xsi:type="xsd:double"&gt;3.5&lt;/D&gt;&lt;/FQL&gt;&lt;FQL&gt;&lt;Q&gt;CAGDPY@CL^EE_ACTUAL_ANNUAL(MED,+1)&lt;/Q&gt;&lt;R&gt;1&lt;/R&gt;&lt;C&gt;1&lt;/C&gt;&lt;D xsi:type="xsd:double"&gt;-3.2&lt;/D&gt;&lt;/FQL&gt;&lt;FQL&gt;&lt;Q&gt;CC_MX^FG_COMPANY_NAME&lt;/Q&gt;&lt;R&gt;1&lt;/R&gt;&lt;C&gt;1&lt;/C&gt;&lt;D xsi:type="xsd:string"&gt;Mexico&lt;/D&gt;&lt;/FQL&gt;&lt;FQL&gt;&lt;Q&gt;USDSAR^FG_COMPANY_NAME&lt;/Q&gt;&lt;R&gt;1&lt;/R&gt;&lt;C&gt;1&lt;/C&gt;&lt;D xsi:type="xsd:string"&gt;Saudi Arabian Riyal per U.S. Dollar&lt;/D&gt;&lt;/FQL&gt;&lt;FQL&gt;&lt;Q&gt;USDAED^FG_COMPANY_NAME&lt;/Q&gt;&lt;R&gt;1&lt;/R&gt;&lt;C&gt;1&lt;/C&gt;&lt;D xsi:type="xsd:string"&gt;UAE Dirham per U.S. Dollar&lt;/D&gt;&lt;/FQL&gt;&lt;FQL&gt;&lt;Q&gt;USDTHB^FG_COMPANY_NAME&lt;/Q&gt;&lt;R&gt;1&lt;/R&gt;&lt;C&gt;1&lt;/C&gt;&lt;D xsi:type="xsd:string"&gt;Thailand Baht per U.S. Dollar&lt;/D&gt;&lt;/FQL&gt;&lt;FQL&gt;&lt;Q&gt;USDCNH^FG_COMPANY_NAME&lt;/Q&gt;&lt;R&gt;1&lt;/R&gt;&lt;C&gt;1&lt;/C&gt;&lt;D xsi:type="xsd:string"&gt;Chinese Offshore Renminbi per U.S. Dollar&lt;/D&gt;&lt;/FQL&gt;&lt;FQL&gt;&lt;Q&gt;EZA^FMA_ROE(NTMA,-20AY,NOW,FY,"PORTAGG","MEANR")&lt;/Q&gt;&lt;R&gt;20&lt;/R&gt;&lt;C&gt;1&lt;/C&gt;&lt;D xsi:type="xsd:double"&gt;17.9443072677306&lt;/D&gt;&lt;D xsi:type="xsd:double"&gt;20.5348928156755&lt;/D&gt;&lt;D xsi:type="xsd:double"&gt;23.3962979706047&lt;/D&gt;&lt;D xsi:type="xsd:double"&gt;22.9309412159492&lt;/D&gt;&lt;D xsi:type="xsd:double"&gt;18.5257233943907&lt;/D&gt;&lt;D xsi:type="xsd:double"&gt;16.4229233067431&lt;/D&gt;&lt;D xsi:type="xsd:double"&gt;17.9081210683932&lt;/D&gt;&lt;D xsi:type="xsd:double"&gt;18.7154492714901&lt;/D&gt;&lt;D xsi:type="xsd:double"&gt;17.1811698307319&lt;/D&gt;&lt;D xsi:type="xsd:double"&gt;15.8177225487006&lt;/D&gt;&lt;D xsi:type="xsd:double"&gt;15.0179384562795&lt;/D&gt;&lt;D xsi:type="xsd:double"&gt;14.1296467541483&lt;/D&gt;&lt;D xsi:type="xsd:double"&gt;12.9857675631351&lt;/D&gt;&lt;D xsi:type="xsd:double"&gt;13.3471903111701&lt;/D&gt;&lt;D xsi:type="xsd:double"&gt;14.1097872522301&lt;/D&gt;&lt;D xsi:type="xsd:double"&gt;13.616354252195&lt;/D&gt;&lt;D xsi:type="xsd:double"&gt;16.7115371927188&lt;/D&gt;&lt;D xsi:type="xsd:double"&gt;16.932589581546&lt;/D&gt;&lt;D xsi:type="xsd:double"&gt;16.8118349535848&lt;/D&gt;&lt;D xsi:type="xsd:double"&gt;14.5722752976358&lt;/D&gt;&lt;/FQL&gt;&lt;FQL&gt;&lt;Q&gt;CAGDPY@TR^EE_ACTUAL_ANNUAL(MED,0)&lt;/Q&gt;&lt;R&gt;1&lt;/R&gt;&lt;C&gt;1&lt;/C&gt;&lt;D xsi:type="xsd:double"&gt;-5.06082493891602&lt;/D&gt;&lt;/FQL&gt;&lt;FQL&gt;&lt;Q&gt;EWZ^FMA_ROE(NTMA,-20AY,NOW,FY,"PORTAGG","MEANR")&lt;/Q&gt;&lt;R&gt;20&lt;/R&gt;&lt;C&gt;1&lt;/C&gt;&lt;D xsi:type="xsd:double"&gt;10.902459324937&lt;/D&gt;&lt;D xsi:type="xsd:double"&gt;15.1330068419745&lt;/D&gt;&lt;D xsi:type="xsd:double"&gt;12.2637569805604&lt;/D&gt;&lt;D xsi:type="xsd:double"&gt;16.9213337132468&lt;/D&gt;&lt;D xsi:type="xsd:double"&gt;15.0739650750282&lt;/D&gt;&lt;D xsi:type="xsd:double"&gt;15.0554926171621&lt;/D&gt;&lt;D xsi:type="xsd:double"&gt;15.5613461627174&lt;/D&gt;&lt;D xsi:type="xsd:double"&gt;13.5280238194533&lt;/D&gt;&lt;D xsi:type="xsd:double"&gt;11.6623907171401&lt;/D&gt;&lt;D xsi:type="xsd:double"&gt;12.921670812909&lt;/D&gt;&lt;D xsi:type="xsd:double"&gt;10.9002435918115&lt;/D&gt;&lt;D xsi:type="xsd:double"&gt;10.6345360348741&lt;/D&gt;&lt;D xsi:type="xsd:double"&gt;11.2231596394428&lt;/D&gt;&lt;D xsi:type="xsd:double"&gt;13.1487202255739&lt;/D&gt;&lt;D xsi:type="xsd:double"&gt;15.1975351275066&lt;/D&gt;&lt;D xsi:type="xsd:double"&gt;14.5227361903203&lt;/D&gt;&lt;D xsi:type="xsd:double"&gt;16.6192198371214&lt;/D&gt;&lt;D xsi:type="xsd:double"&gt;20.4560772375546&lt;/D&gt;&lt;D xsi:type="xsd:double"&gt;19.407551500648&lt;/D&gt;&lt;D xsi:type="xsd:double"&gt;18.6086841620772&lt;/D&gt;&lt;/FQL&gt;&lt;FQL&gt;&lt;Q&gt;TRYSA10Y-FDS^FG_YIELD(-10AY,0,Y,,"YTM")&lt;/Q&gt;&lt;R&gt;10&lt;/R&gt;&lt;C&gt;1&lt;/C&gt;&lt;D xsi:type="xsd:string"&gt;@NA&lt;/D&gt;&lt;D xsi:type="xsd:string"&gt;@NA&lt;/D&gt;&lt;D xsi:type="xsd:double"&gt;3.8912454&lt;/D&gt;&lt;D xsi:type="xsd:double"&gt;3.7299898&lt;/D&gt;&lt;D xsi:type="xsd:double"&gt;4.5715504&lt;/D&gt;&lt;D xsi:type="xsd:double"&gt;2.8775356&lt;/D&gt;&lt;D xsi:type="xsd:double"&gt;2.0844028&lt;/D&gt;&lt;D xsi:type="xsd:double"&gt;2.5113702&lt;/D&gt;&lt;D xsi:type="xsd:double"&gt;4.613973&lt;/D&gt;&lt;D xsi:type="xsd:double"&gt;4.608568&lt;/D&gt;&lt;/FQL&gt;&lt;FQL&gt;&lt;Q&gt;TRYGB10Y-FDS^FG_YIELD(-10AY,0,Y,,"YTM")&lt;/Q&gt;&lt;R&gt;10&lt;/R&gt;&lt;C&gt;1&lt;/C&gt;&lt;D xsi:type="xsd:double"&gt;1.8155&lt;/D&gt;&lt;D xsi:type="xsd:double"&gt;2.0248&lt;/D&gt;&lt;D xsi:type="xsd:double"&gt;1.2817&lt;/D&gt;&lt;D xsi:type="xsd:double"&gt;1.2536&lt;/D&gt;&lt;D xsi:type="xsd:double"&gt;1.3339&lt;/D&gt;&lt;D xsi:type="xsd:double"&gt;0.822&lt;/D&gt;&lt;D xsi:type="xsd:double"&gt;0.197&lt;/D&gt;&lt;D xsi:type="xsd:double"&gt;0.966&lt;/D&gt;&lt;D xsi:type="xsd:double"&gt;3.662&lt;/D&gt;&lt;D xsi:type="xsd:double"&gt;3.534&lt;/D&gt;&lt;/FQL&gt;&lt;FQL&gt;&lt;Q&gt;CAGDPY@TH^EE_ACTUAL_ANNUAL(MED,+1)&lt;/Q&gt;&lt;R&gt;1&lt;/R&gt;&lt;C&gt;1&lt;/C&gt;&lt;D xsi:type="xsd:double"&gt;2.4&lt;/D&gt;&lt;/FQL&gt;&lt;FQL&gt;&lt;Q&gt;CAGDPY@MX^EE_ACTUAL_ANNUAL(MED,+1)&lt;/Q&gt;&lt;R&gt;1&lt;/R&gt;&lt;C&gt;1&lt;/C&gt;&lt;D xsi:type="xsd:double"&gt;-0.5&lt;/D&gt;&lt;/FQL&gt;&lt;FQL&gt;&lt;Q&gt;CC_MY^FG_COMPANY_NAME&lt;/Q&gt;&lt;R&gt;1&lt;/R&gt;&lt;C&gt;1&lt;/C&gt;&lt;D xsi:type="xsd:string"&gt;Malaysia&lt;/D&gt;&lt;/FQL&gt;&lt;FQL&gt;&lt;Q&gt;USDVND^STD(FG_PRICE_CHANGE(0,-1AY,AM))&lt;/Q&gt;&lt;R&gt;1&lt;/R&gt;&lt;C&gt;1&lt;/C&gt;&lt;D xsi:type="xsd:double"&gt;1.10955593458528&lt;/D&gt;&lt;/FQL&gt;&lt;FQL&gt;&lt;Q&gt;EWY^FMA_ROE(NTMA,-20AY,NOW,FY,"PORTAGG","MEANR")&lt;/Q&gt;&lt;R&gt;20&lt;/R&gt;&lt;C&gt;1&lt;/C&gt;&lt;D xsi:type="xsd:double"&gt;15.9616854074036&lt;/D&gt;&lt;D xsi:type="xsd:double"&gt;15.4849098528827&lt;/D&gt;&lt;D xsi:type="xsd:double"&gt;13.8927001282369&lt;/D&gt;&lt;D xsi:type="xsd:double"&gt;14.4039664402004&lt;/D&gt;&lt;D xsi:type="xsd:double"&gt;9.92456164609465&lt;/D&gt;&lt;D xsi:type="xsd:double"&gt;13.4147036931661&lt;/D&gt;&lt;D xsi:type="xsd:double"&gt;14.0364525270903&lt;/D&gt;&lt;D xsi:type="xsd:double"&gt;12.8930845102886&lt;/D&gt;&lt;D xsi:type="xsd:double"&gt;12.4745249796659&lt;/D&gt;&lt;D xsi:type="xsd:double"&gt;11.4149566191569&lt;/D&gt;&lt;D xsi:type="xsd:double"&gt;9.77047682396504&lt;/D&gt;&lt;D xsi:type="xsd:double"&gt;8.83276683126284&lt;/D&gt;&lt;D xsi:type="xsd:double"&gt;9.34985338936219&lt;/D&gt;&lt;D xsi:type="xsd:double"&gt;11.1969769851489&lt;/D&gt;&lt;D xsi:type="xsd:double"&gt;9.7866294798229&lt;/D&gt;&lt;D xsi:type="xsd:double"&gt;7.66840153162665&lt;/D&gt;&lt;D xsi:type="xsd:double"&gt;8.30169258167628&lt;/D&gt;&lt;D xsi:type="xsd:double"&gt;10.1400633970943&lt;/D&gt;&lt;D xsi:type="xsd:double"&gt;7.49218885103669&lt;/D&gt;&lt;D xsi:type="xsd:double"&gt;8.89292284507109&lt;/D&gt;&lt;/FQL&gt;&lt;FQL&gt;&lt;Q&gt;TRYID10Y-FDS^FG_YIELD(-10AY,0,Y,,"YTM")&lt;/Q&gt;&lt;R&gt;10&lt;/R&gt;&lt;C&gt;1&lt;/C&gt;&lt;D xsi:type="xsd:double"&gt;7.922017&lt;/D&gt;&lt;D xsi:type="xsd:double"&gt;8.942368&lt;/D&gt;&lt;D xsi:type="xsd:double"&gt;7.89735&lt;/D&gt;&lt;D xsi:type="xsd:double"&gt;6.462641&lt;/D&gt;&lt;D xsi:type="xsd:double"&gt;8.148183&lt;/D&gt;&lt;D xsi:type="xsd:double"&gt;7.263584&lt;/D&gt;&lt;D xsi:type="xsd:double"&gt;5.902206&lt;/D&gt;&lt;D xsi:type="xsd:double"&gt;6.458283&lt;/D&gt;&lt;D xsi:type="xsd:double"&gt;6.936579&lt;/D&gt;&lt;D xsi:type="xsd:double"&gt;6.498571&lt;/D&gt;&lt;/FQL&gt;&lt;FQL&gt;&lt;Q&gt;EWW^FMA_ROE(NTMA,-20AY,NOW,FY,"PORTAGG","MEANR")&lt;/Q&gt;&lt;R&gt;20&lt;/R&gt;&lt;C&gt;1&lt;/C&gt;&lt;D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xsi:type="xsd:double"&gt;12.2361967072767&lt;/D&gt;&lt;D xsi:type="xsd:double"&gt;12.6640790394995&lt;/D&gt;&lt;D xsi:type="xsd:double"&gt;12.8972143418882&lt;/D&gt;&lt;D xsi:type="xsd:double"&gt;12.0869262494349&lt;/D&gt;&lt;D xsi:type="xsd:double"&gt;11.7827107678683&lt;/D&gt;&lt;D xsi:type="xsd:double"&gt;13.687162530438&lt;/D&gt;&lt;D xsi:type="xsd:double"&gt;13.3394699175221&lt;/D&gt;&lt;D xsi:type="xsd:double"&gt;13.7129718327555&lt;/D&gt;&lt;/FQL&gt;&lt;FQL&gt;&lt;Q&gt;TRYAE10Y-FDS^FG_YIELD(-10AY,0,Y,,"YTM")&lt;/Q&gt;&lt;R&gt;10&lt;/R&gt;&lt;C&gt;1&lt;/C&gt;&lt;D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xsi:type="xsd:string"&gt;@NA&lt;/D&gt;&lt;/FQL&gt;&lt;FQL&gt;&lt;Q&gt;TRYJP10Y-FDS^FG_YIELD(-10AY,0,Y,,"YTM")&lt;/Q&gt;&lt;R&gt;10&lt;/R&gt;&lt;C&gt;1&lt;/C&gt;&lt;D xsi:type="xsd:double"&gt;0.3138&lt;/D&gt;&lt;D xsi:type="xsd:double"&gt;0.2604&lt;/D&gt;&lt;D xsi:type="xsd:double"&gt;0.0315&lt;/D&gt;&lt;D xsi:type="xsd:double"&gt;0.0465&lt;/D&gt;&lt;D xsi:type="xsd:double"&gt;-0.0051&lt;/D&gt;&lt;D xsi:type="xsd:double"&gt;-0.0208&lt;/D&gt;&lt;D xsi:type="xsd:double"&gt;0.0201&lt;/D&gt;&lt;D xsi:type="xsd:double"&gt;0.0672&lt;/D&gt;&lt;D xsi:type="xsd:double"&gt;0.4224&lt;/D&gt;&lt;D xsi:type="xsd:double"&gt;0.6127&lt;/D&gt;&lt;/FQL&gt;&lt;FQL&gt;&lt;Q&gt;TRYZA10Y-FDS^FG_YIELD(-10AY,0,Y,,"YTM")&lt;/Q&gt;&lt;R&gt;10&lt;/R&gt;&lt;C&gt;1&lt;/C&gt;&lt;D xsi:type="xsd:double"&gt;7.9537&lt;/D&gt;&lt;D xsi:type="xsd:double"&gt;9.7513&lt;/D&gt;&lt;D xsi:type="xsd:double"&gt;8.9047&lt;/D&gt;&lt;D xsi:type="xsd:double"&gt;8.58389&lt;/D&gt;&lt;D xsi:type="xsd:double"&gt;9.37766&lt;/D&gt;&lt;D xsi:type="xsd:double"&gt;9.011772&lt;/D&gt;&lt;D xsi:type="xsd:double"&gt;9.174469&lt;/D&gt;&lt;D xsi:type="xsd:double"&gt;9.791837&lt;/D&gt;&lt;D xsi:type="xsd:double"&gt;10.764477&lt;/D&gt;&lt;D xsi:type="xsd:double"&gt;11.358896&lt;/D&gt;&lt;/FQL&gt;&lt;FQL&gt;&lt;Q&gt;CAGDPY@QA^EE_ACTUAL_ANNUAL(MED,+1)&lt;/Q&gt;&lt;R&gt;1&lt;/R&gt;&lt;C&gt;1&lt;/C&gt;&lt;D xsi:type="xsd:double"&gt;13.55&lt;/D&gt;&lt;/FQL&gt;&lt;FQL&gt;&lt;Q&gt;CAGDPY@TW^EE_ACTUAL_ANNUAL(MED,+1)&lt;/Q&gt;&lt;R&gt;1&lt;/R&gt;&lt;C&gt;1&lt;/C&gt;&lt;D xsi:type="xsd:double"&gt;14.2&lt;/D&gt;&lt;/FQL&gt;&lt;FQL&gt;&lt;Q&gt;CC_SA^FG_COMPANY_NAME&lt;/Q&gt;&lt;R&gt;1&lt;/R&gt;&lt;C&gt;1&lt;/C&gt;&lt;D xsi:type="xsd:string"&gt;Saudi Arabia&lt;/D&gt;&lt;/FQL&gt;&lt;FQL&gt;&lt;Q&gt;CC_PL^FG_COMPANY_NAME&lt;/Q&gt;&lt;R&gt;1&lt;/R&gt;&lt;C&gt;1&lt;/C&gt;&lt;D xsi:type="xsd:string"&gt;Poland&lt;/D&gt;&lt;/FQL&gt;&lt;FQL&gt;&lt;Q&gt;USDVND^FG_PRICE_CHANGE(0,-3AM)&lt;/Q&gt;&lt;R&gt;1&lt;/R&gt;&lt;C&gt;1&lt;/C&gt;&lt;D xsi:type="xsd:double"&gt;-0.47160387&lt;/D&gt;&lt;/FQL&gt;&lt;FQL&gt;&lt;Q&gt;USDTRY^FG_PRICE_CHANGE(0,-3AM)&lt;/Q&gt;&lt;R&gt;1&lt;/R&gt;&lt;C&gt;1&lt;/C&gt;&lt;D xsi:type="xsd:double"&gt;1.4453769&lt;/D&gt;&lt;/FQL&gt;&lt;FQL&gt;&lt;Q&gt;USDQAR^FG_PRICE_CHANGE(0,-3AM)&lt;/Q&gt;&lt;R&gt;1&lt;/R&gt;&lt;C&gt;1&lt;/C&gt;&lt;D xsi:type="xsd:double"&gt;0&lt;/D&gt;&lt;/FQL&gt;&lt;FQL&gt;&lt;Q&gt;USDINR^FG_PRICE_CHANGE(0,-3AM)&lt;/Q&gt;&lt;R&gt;1&lt;/R&gt;&lt;C&gt;1&lt;/C&gt;&lt;D xsi:type="xsd:double"&gt;0.22912025&lt;/D&gt;&lt;/FQL&gt;&lt;FQL&gt;&lt;Q&gt;USDZAR^FG_PRICE_CHANGE(0,-3AM)&lt;/Q&gt;&lt;R&gt;1&lt;/R&gt;&lt;C&gt;1&lt;/C&gt;&lt;D xsi:type="xsd:double"&gt;-4.426527&lt;/D&gt;&lt;/FQL&gt;&lt;FQL&gt;&lt;Q&gt;USDKRW^FG_PRICE_CHANGE(0,-3AM)&lt;/Q&gt;&lt;R&gt;1&lt;/R&gt;&lt;C&gt;1&lt;/C&gt;&lt;D xsi:type="xsd:double"&gt;0.3219247&lt;/D&gt;&lt;/FQL&gt;&lt;FQL&gt;&lt;Q&gt;USDTWD^FG_PRICE_CHANGE(0,-3AM)&lt;/Q&gt;&lt;R&gt;1&lt;/R&gt;&lt;C&gt;1&lt;/C&gt;&lt;D xsi:type="xsd:double"&gt;0.6072998&lt;/D&gt;&lt;/FQL&gt;&lt;FQL&gt;&lt;Q&gt;USDPEN^FG_PRICE_CHANGE(0,-3AM)&lt;/Q&gt;&lt;R&gt;1&lt;/R&gt;&lt;C&gt;1&lt;/C&gt;&lt;D xsi:type="xsd:double"&gt;1.0916829&lt;/D&gt;&lt;/FQL&gt;&lt;FQL&gt;&lt;Q&gt;USDPHP^FG_PRICE_CHANGE(0,-3AM)&lt;/Q&gt;&lt;R&gt;1&lt;/R&gt;&lt;C&gt;1&lt;/C&gt;&lt;D xsi:type="xsd:double"&gt;1.2705564&lt;/D&gt;&lt;/FQL&gt;&lt;FQL&gt;&lt;Q&gt;USDCLP^FG_PRICE_CHANGE(0,-3AM)&lt;/Q&gt;&lt;R&gt;1&lt;/R&gt;&lt;C&gt;1&lt;/C&gt;&lt;D xsi:type="xsd:double"&gt;-1.6587794&lt;/D&gt;&lt;/FQL&gt;&lt;FQL&gt;&lt;Q&gt;FC0000TR^FMA_EPS(NTMA,-20AY,0,CY,,"PORTAGG","MEANR")&lt;/Q&gt;&lt;R&gt;20&lt;/R&gt;&lt;C&gt;1&lt;/C&gt;&lt;D xsi:type="xsd:double"&gt;9.86463285413856&lt;/D&gt;&lt;D xsi:type="xsd:double"&gt;13.697013097437&lt;/D&gt;&lt;D xsi:type="xsd:double"&gt;15.4857358154397&lt;/D&gt;&lt;D xsi:type="xsd:double"&gt;22.3352325303583&lt;/D&gt;&lt;D xsi:type="xsd:double"&gt;17.0194207562287&lt;/D&gt;&lt;D xsi:type="xsd:double"&gt;19.5831499482532&lt;/D&gt;&lt;D xsi:type="xsd:double"&gt;23.3457716305229&lt;/D&gt;&lt;D xsi:type="xsd:double"&gt;19.9467070950164&lt;/D&gt;&lt;D xsi:type="xsd:double"&gt;22.8671187954567&lt;/D&gt;&lt;D xsi:type="xsd:double"&gt;20.0828803302685&lt;/D&gt;&lt;D xsi:type="xsd:double"&gt;19.5514117112726&lt;/D&gt;&lt;D xsi:type="xsd:double"&gt;17.4011919479576&lt;/D&gt;&lt;D xsi:type="xsd:double"&gt;16.4826621500299&lt;/D&gt;&lt;D xsi:type="xsd:double"&gt;20.8864123256607&lt;/D&gt;&lt;D xsi:type="xsd:double"&gt;19.0848898388226&lt;/D&gt;&lt;D xsi:type="xsd:double"&gt;22.5659659752379&lt;/D&gt;&lt;D xsi:type="xsd:double"&gt;23.2814280899331&lt;/D&gt;&lt;D xsi:type="xsd:double"&gt;19.7583568197709&lt;/D&gt;&lt;D xsi:type="xsd:double"&gt;36.4008275641257&lt;/D&gt;&lt;D xsi:type="xsd:double"&gt;47.716878299101&lt;/D&gt;&lt;/FQL&gt;&lt;FQL&gt;&lt;Q&gt;FC0000CL^FMA_EPS(NTMA,-20AY,0,CY,,"PORTAGG","MEANR")&lt;/Q&gt;&lt;R&gt;20&lt;/R&gt;&lt;C&gt;1&lt;/C&gt;&lt;D xsi:type="xsd:double"&gt;13.4345645762327&lt;/D&gt;&lt;D xsi:type="xsd:double"&gt;13.9377456000386&lt;/D&gt;&lt;D xsi:type="xsd:double"&gt;16.9673771165975&lt;/D&gt;&lt;D xsi:type="xsd:double"&gt;22.3266043070326&lt;/D&gt;&lt;D xsi:type="xsd:double"&gt;16.9726142999547&lt;/D&gt;&lt;D xsi:type="xsd:double"&gt;22.0450374886443&lt;/D&gt;&lt;D xsi:type="xsd:double"&gt;30.8805428396108&lt;/D&gt;&lt;D xsi:type="xsd:double"&gt;24.5524085371812&lt;/D&gt;&lt;D xsi:type="xsd:double"&gt;26.1691360625743&lt;/D&gt;&lt;D xsi:type="xsd:double"&gt;23.6838683927762&lt;/D&gt;&lt;D xsi:type="xsd:double"&gt;20.4877824093345&lt;/D&gt;&lt;D xsi:type="xsd:double"&gt;18.4268311165022&lt;/D&gt;&lt;D xsi:type="xsd:double"&gt;17.2536219467367&lt;/D&gt;&lt;D xsi:type="xsd:double"&gt;26.3633049059602&lt;/D&gt;&lt;D xsi:type="xsd:double"&gt;21.6808239098782&lt;/D&gt;&lt;D xsi:type="xsd:double"&gt;17.382962129472&lt;/D&gt;&lt;D xsi:type="xsd:double"&gt;15.4719123326967&lt;/D&gt;&lt;D xsi:type="xsd:double"&gt;18.6829935773988&lt;/D&gt;&lt;D xsi:type="xsd:double"&gt;25.9061727763009&lt;/D&gt;&lt;D xsi:type="xsd:double"&gt;28.7013848912582&lt;/D&gt;&lt;/FQL&gt;&lt;FQL&gt;&lt;Q&gt;EWT^P_PRICE_RETURNS_PR('52W',2,-10AY,0,AM)&lt;/Q&gt;&lt;R&gt;121&lt;/R&gt;&lt;C&gt;1&lt;/C&gt;&lt;D xsi:type="xsd:double"&gt;19.088055&lt;/D&gt;&lt;D xsi:type="xsd:double"&gt;25.197338&lt;/D&gt;&lt;D xsi:type="xsd:double"&gt;12.240267&lt;/D&gt;&lt;D xsi:type="xsd:double"&gt;3.8908362&lt;/D&gt;&lt;D xsi:type="xsd:double"&gt;12.547815&lt;/D&gt;&lt;D xsi:type="xsd:double"&gt;9.642887&lt;/D&gt;&lt;D xsi:type="xsd:double"&gt;8.816719&lt;/D&gt;&lt;D xsi:type="xsd:double"&gt;15.846003&lt;/D&gt;&lt;D xsi:type="xsd:double"&gt;17.225574&lt;/D&gt;&lt;D xsi:type="xsd:double"&gt;7.861829&lt;/D&gt;&lt;D xsi:type="xsd:double"&gt;14.134848&lt;/D&gt;&lt;D xsi:type="xsd:double"&gt;2.3704052&lt;/D&gt;&lt;D xsi:type="xsd:double"&gt;-0.27080178&lt;/D&gt;&lt;D xsi:type="xsd:double"&gt;-17.595364&lt;/D&gt;&lt;D xsi:type="xsd:double"&gt;-12.224859&lt;/D&gt;&lt;D xsi:type="xsd:double"&gt;-2.206552&lt;/D&gt;&lt;D xsi:type="xsd:double"&gt;-9.663916&lt;/D&gt;&lt;D xsi:type="xsd:double"&gt;-10.440678&lt;/D&gt;&lt;D xsi:type="xsd:double"&gt;-20.22882&lt;/D&gt;&lt;D xsi:type="xsd:double"&gt;-17.346066&lt;/D&gt;&lt;D xsi:type="xsd:double"&gt;-10.626507&lt;/D&gt;&lt;D xsi:type="xsd:double"&gt;-10.4427395&lt;/D&gt;&lt;D xsi:type="xsd:double"&gt;-22.83839&lt;/D&gt;&lt;D xsi:type="xsd:double"&gt;-10.340303&lt;/D&gt;&lt;D xsi:type="xsd:double"&gt;-1.3643205&lt;/D&gt;&lt;D xsi:type="xsd:double"&gt;19.9939&lt;/D&gt;&lt;D xsi:type="xsd:double"&gt;15.956318&lt;/D&gt;&lt;D xsi:type="xsd:double"&gt;14.446772&lt;/D&gt;&lt;D xsi:type="xsd:double"&gt;13.140833&lt;/D&gt;&lt;D xsi:type="xsd:double"&gt;18.462503&lt;/D&gt;&lt;D xsi:type="xsd:double"&gt;32.64636&lt;/D&gt;&lt;D xsi:type="xsd:double"&gt;30.648697&lt;/D&gt;&lt;D xsi:type="xsd:double"&gt;22.149479&lt;/D&gt;&lt;D xsi:type="xsd:double"&gt;21.501589&lt;/D&gt;&lt;D xsi:type="xsd:double"&gt;42.037308&lt;/D&gt;&lt;D xsi:type="xsd:double"&gt;31.76099&lt;/D&gt;&lt;D xsi:type="xsd:double"&gt;27.240896&lt;/D&gt;&lt;D xsi:type="xsd:double"&gt;20.20775&lt;/D&gt;&lt;D xsi:type="xsd:double"&gt;23.044765&lt;/D&gt;&lt;D xsi:type="xsd:double"&gt;22.205997&lt;/D&gt;&lt;D xsi:type="xsd:double"&gt;28.714954&lt;/D&gt;&lt;D xsi:type="xsd:double"&gt;22.431576&lt;/D&gt;&lt;D xsi:type="xsd:double"&gt;31.79884&lt;/D&gt;&lt;D xsi:type="xsd:double"&gt;18.648434&lt;/D&gt;&lt;D xsi:type="xsd:double"&gt;18.15498&lt;/D&gt;&lt;D xsi:type="xsd:double"&gt;18.326675&lt;/D&gt;&lt;D xsi:type="xsd:double"&gt;10.704147&lt;/D&gt;&lt;D xsi:type="xsd:double"&gt;5.7924986&lt;/D&gt;&lt;D xsi:type="xsd:double"&gt;2.2457838&lt;/D&gt;&lt;D xsi:type="xsd:double"&gt;4.11278&lt;/D&gt;&lt;D xsi:type="xsd:double"&gt;2.4178267&lt;/D&gt;&lt;D xsi:type="xsd:double"&gt;-8.798915&lt;/D&gt;&lt;D xsi:type="xsd:double"&gt;-10.542303&lt;/D&gt;&lt;D xsi:type="xsd:double"&gt;-8.862173&lt;/D&gt;&lt;D xsi:type="xsd:double"&gt;-12.840623&lt;/D&gt;&lt;D xsi:type="xsd:double"&gt;-9.677887&lt;/D&gt;&lt;D xsi:type="xsd:double"&gt;-7.58754&lt;/D&gt;&lt;D xsi:type="xsd:double"&gt;-1.352644&lt;/D&gt;&lt;D xsi:type="xsd:double"&gt;-7.2423754&lt;/D&gt;&lt;D xsi:type="xsd:double"&gt;-0.6830096&lt;/D&gt;&lt;D xsi:type="xsd:double"&gt;0.56256056&lt;/D&gt;&lt;D xsi:type="xsd:double"&gt;-2.9480875&lt;/D&gt;&lt;D xsi:type="xsd:double"&gt;1.510334&lt;/D&gt;&lt;D xsi:type="xsd:double"&gt;18.225216&lt;/D&gt;&lt;D xsi:type="xsd:double"&gt;25.954998&lt;/D&gt;&lt;D xsi:type="xsd:double"&gt;35.214077&lt;/D&gt;&lt;D xsi:type="xsd:double"&gt;33.020985&lt;/D&gt;&lt;D xsi:type="xsd:double"&gt;24.683344&lt;/D&gt;&lt;D xsi:type="xsd:double"&gt;-11.772042&lt;/D&gt;&lt;D xsi:type="xsd:double"&gt;2.5036454&lt;/D&gt;&lt;D xsi:type="xsd:double"&gt;14.36075&lt;/D&gt;&lt;D xsi:type="xsd:double"&gt;16.944515&lt;/D&gt;&lt;D xsi:type="xsd:double"&gt;23.987484&lt;/D&gt;&lt;D xsi:type="xsd:double"&gt;33.788597&lt;/D&gt;&lt;D xsi:type="xsd:double"&gt;27.050697&lt;/D&gt;&lt;D xsi:type="xsd:double"&gt;23.890078&lt;/D&gt;&lt;D xsi:type="xsd:double"&gt;27.375484&lt;/D&gt;&lt;D xsi:type="xsd:double"&gt;27.204632&lt;/D&gt;&lt;D xsi:type="xsd:double"&gt;41.561626&lt;/D&gt;&lt;D xsi:type="xsd:double"&gt;52.022575&lt;/D&gt;&lt;D xsi:type="xsd:double"&gt;101.02863&lt;/D&gt;&lt;D xsi:type="xsd:double"&gt;77.5643&lt;/D&gt;&lt;D xsi:type="xsd:double"&gt;64.07221&lt;/D&gt;&lt;D xsi:type="xsd:double"&gt;60.06155&lt;/D&gt;&lt;D xsi:type="xsd:double"&gt;50.944283&lt;/D&gt;&lt;D xsi:type="xsd:double"&gt;36.92254&lt;/D&gt;&lt;D xsi:type="xsd:double"&gt;44.1988&lt;/D&gt;&lt;D xsi:type="xsd:double"&gt;39.253174&lt;/D&gt;&lt;D xsi:type="xsd:double"&gt;35.371746&lt;/D&gt;&lt;D xsi:type="xsd:double"&gt;28.138315&lt;/D&gt;&lt;D xsi:type="xsd:double"&gt;18.546068&lt;/D&gt;&lt;D xsi:type="xsd:double"&gt;12.893748&lt;/D&gt;&lt;D xsi:type="xsd:double"&gt;11.143887&lt;/D&gt;&lt;D xsi:type="xsd:double"&gt;-5.15486&lt;/D&gt;&lt;D xsi:type="xsd:double"&gt;-6.5065384&lt;/D&gt;&lt;D xsi:type="xsd:double"&gt;-15.305651&lt;/D&gt;&lt;D xsi:type="xsd:double"&gt;-18.308788&lt;/D&gt;&lt;D xsi:type="xsd:double"&gt;-11.020142&lt;/D&gt;&lt;D xsi:type="xsd:double"&gt;-23.698437&lt;/D&gt;&lt;D xsi:type="xsd:double"&gt;-32.07159&lt;/D&gt;&lt;D xsi:type="xsd:double"&gt;-25.058926&lt;/D&gt;&lt;D xsi:type="xsd:double"&gt;-25.19235&lt;/D&gt;&lt;D xsi:type="xsd:double"&gt;-23.139805</t>
        </r>
      </text>
    </comment>
    <comment ref="A5" authorId="0" shapeId="0" xr:uid="{590818BD-8D9F-42A5-A00E-EA18082209D4}">
      <text>
        <r>
          <rPr>
            <b/>
            <sz val="9"/>
            <color indexed="81"/>
            <rFont val="Tahoma"/>
            <charset val="1"/>
          </rPr>
          <t>&lt;/D&gt;&lt;D xsi:type="xsd:double"&gt;-19.747055&lt;/D&gt;&lt;D xsi:type="xsd:double"&gt;-17.988264&lt;/D&gt;&lt;D xsi:type="xsd:double"&gt;-9.853381&lt;/D&gt;&lt;D xsi:type="xsd:double"&gt;-0.55956244&lt;/D&gt;&lt;D xsi:type="xsd:double"&gt;9.019529&lt;/D&gt;&lt;D xsi:type="xsd:double"&gt;12.668287&lt;/D&gt;&lt;D xsi:type="xsd:double"&gt;0.77718496&lt;/D&gt;&lt;D xsi:type="xsd:double"&gt;12.581385&lt;/D&gt;&lt;D xsi:type="xsd:double"&gt;27.50156&lt;/D&gt;&lt;D xsi:type="xsd:double"&gt;16.293812&lt;/D&gt;&lt;D xsi:type="xsd:double"&gt;21.252144&lt;/D&gt;&lt;D xsi:type="xsd:double"&gt;14.883947&lt;/D&gt;&lt;D xsi:type="xsd:double"&gt;17.148792&lt;/D&gt;&lt;D xsi:type="xsd:double"&gt;24.886204&lt;/D&gt;&lt;D xsi:type="xsd:double"&gt;16.209126&lt;/D&gt;&lt;D xsi:type="xsd:double"&gt;27.451313&lt;/D&gt;&lt;D xsi:type="xsd:double"&gt;26.662779&lt;/D&gt;&lt;D xsi:type="xsd:double"&gt;24.253643&lt;/D&gt;&lt;/FQL&gt;&lt;FQL&gt;&lt;Q&gt;INDA^FG_TOTAL_RETURNC(-10AY,0,AM)&lt;/Q&gt;&lt;R&gt;121&lt;/R&gt;&lt;C&gt;1&lt;/C&gt;&lt;D xsi:type="xsd:double"&gt;1.5476227&lt;/D&gt;&lt;D xsi:type="xsd:double"&gt;3.2819867&lt;/D&gt;&lt;D xsi:type="xsd:double"&gt;1.0700345&lt;/D&gt;&lt;D xsi:type="xsd:double"&gt;-4.619831&lt;/D&gt;&lt;D xsi:type="xsd:double"&gt;6.559038&lt;/D&gt;&lt;D xsi:type="xsd:double"&gt;-5.4454746&lt;/D&gt;&lt;D xsi:type="xsd:double"&gt;7.9758763&lt;/D&gt;&lt;D xsi:type="xsd:double"&gt;3.1036615&lt;/D&gt;&lt;D xsi:type="xsd:double"&gt;-2.995193&lt;/D&gt;&lt;D xsi:type="xsd:double"&gt;0&lt;/D&gt;&lt;D xsi:type="xsd:double"&gt;-5.166793&lt;/D&gt;&lt;D xsi:type="xsd:double"&gt;-1.5052319&lt;/D&gt;&lt;D xsi:type="xsd:double"&gt;4.7564745&lt;/D&gt;&lt;D xsi:type="xsd:double"&gt;-3.7898123&lt;/D&gt;&lt;D xsi:type="xsd:double"&gt;-7.5802684&lt;/D&gt;&lt;D xsi:type="xsd:double"&gt;5.6948423&lt;/D&gt;&lt;D xsi:type="xsd:double"&gt;-7.6245365&lt;/D&gt;&lt;D xsi:type="xsd:double"&gt;-0.110054016&lt;/D&gt;&lt;D xsi:type="xsd:double"&gt;-6.8879485&lt;/D&gt;&lt;D xsi:type="xsd:double"&gt;-3.2975733&lt;/D&gt;&lt;D xsi:type="xsd:double"&gt;8.915365&lt;/D&gt;&lt;D xsi:type="xsd:double"&gt;5.3941965&lt;/D&gt;&lt;D xsi:type="xsd:double"&gt;-5.7981434&lt;/D&gt;&lt;D xsi:type="xsd:double"&gt;5.0911903&lt;/D&gt;&lt;D xsi:type="xsd:double"&gt;4.6153307&lt;/D&gt;&lt;D xsi:type="xsd:double"&gt;2.4687052&lt;/D&gt;&lt;D xsi:type="xsd:double"&gt;0.10180473&lt;/D&gt;&lt;D xsi:type="xsd:double"&gt;0.20338297&lt;/D&gt;&lt;D xsi:type="xsd:double"&gt;-11.671173&lt;/D&gt;&lt;D xsi:type="xsd:double"&gt;2.2596717&lt;/D&gt;&lt;D xsi:type="xsd:double"&gt;3.545761&lt;/D&gt;&lt;D xsi:type="xsd:double"&gt;5.875957&lt;/D&gt;&lt;D xsi:type="xsd:double"&gt;6.61186&lt;/D&gt;&lt;D xsi:type="xsd:double"&gt;0.12853146&lt;/D&gt;&lt;D xsi:type="xsd:double"&gt;3.5301566&lt;/D&gt;&lt;D xsi:type="xsd:double"&gt;1.6119003&lt;/D&gt;&lt;D xsi:type="xsd:double"&gt;3.9082289&lt;/D&gt;&lt;D xsi:type="xsd:double"&gt;-0.67786574&lt;/D&gt;&lt;D xsi:type="xsd:double"&gt;2.6112795&lt;/D&gt;&lt;D xsi:type="xsd:double"&gt;-1.098907&lt;/D&gt;&lt;D xsi:type="xsd:double"&gt;1.9005775&lt;/D&gt;&lt;D xsi:type="xsd:double"&gt;2.6046872&lt;/D&gt;&lt;D xsi:type="xsd:double"&gt;5.46633&lt;/D&gt;&lt;D xsi:type="xsd:double"&gt;-5.9043527&lt;/D&gt;&lt;D xsi:type="xsd:double"&gt;-5.252701&lt;/D&gt;&lt;D xsi:type="xsd:double"&gt;3.4761786&lt;/D&gt;&lt;D xsi:type="xsd:double"&gt;-4.633647&lt;/D&gt;&lt;D xsi:type="xsd:double"&gt;1.4918447&lt;/D&gt;&lt;D xsi:type="xsd:double"&gt;1.0037422&lt;/D&gt;&lt;D xsi:type="xsd:double"&gt;4.924357&lt;/D&gt;&lt;D xsi:type="xsd:double"&gt;-3.7885249&lt;/D&gt;&lt;D xsi:type="xsd:double"&gt;-12.224502&lt;/D&gt;&lt;D xsi:type="xsd:double"&gt;8.470035&lt;/D&gt;&lt;D xsi:type="xsd:double"&gt;1.9429564&lt;/D&gt;&lt;D xsi:type="xsd:double"&gt;-0.014269352&lt;/D&gt;&lt;D xsi:type="xsd:double"&gt;-3.3882737&lt;/D&gt;&lt;D xsi:type="xsd:double"&gt;11.81674&lt;/D&gt;&lt;D xsi:type="xsd:double"&gt;1.130271&lt;/D&gt;&lt;D xsi:type="xsd:double"&gt;-5.7837367&lt;/D&gt;&lt;D xsi:type="xsd:double"&gt;4.0261984&lt;/D&gt;&lt;D xsi:type="xsd:double"&gt;-1.6973555&lt;/D&gt;&lt;D xsi:type="xsd:double"&gt;-6.526184&lt;/D&gt;&lt;D xsi:type="xsd:double"&gt;-1.6593635&lt;/D&gt;&lt;D xsi:type="xsd:double"&gt;8.341289&lt;/D&gt;&lt;D xsi:type="xsd:double"&gt;0.5877137&lt;/D&gt;&lt;D xsi:type="xsd:double"&gt;3.4853578&lt;/D&gt;&lt;D xsi:type="xsd:double"&gt;2.2322774&lt;/D&gt;&lt;D xsi:type="xsd:double"&gt;-2.4599195&lt;/D&gt;&lt;D xsi:type="xsd:double"&gt;-35.36413&lt;/D&gt;&lt;D xsi:type="xsd:double"&gt;13.678217&lt;/D&gt;&lt;D xsi:type="xsd:double"&gt;-1.4269233&lt;/D&gt;&lt;D xsi:type="xsd:double"&gt;12.431216&lt;/D&gt;&lt;D xsi:type="xsd:double"&gt;9.944177&lt;/D&gt;&lt;D xsi:type="xsd:double"&gt;5.0777555&lt;/D&gt;&lt;D xsi:type="xsd:double"&gt;3.5336733&lt;/D&gt;&lt;D xsi:type="xsd:double"&gt;1.8669724&lt;/D&gt;&lt;D xsi:type="xsd:double"&gt;4.467356&lt;/D&gt;&lt;D xsi:type="xsd:double"&gt;7.901132&lt;/D&gt;&lt;D xsi:type="xsd:double"&gt;4.576659&lt;/D&gt;&lt;D xsi:type="xsd:double"&gt;3.8900971&lt;/D&gt;&lt;D xsi:type="xsd:double"&gt;-0.6318748&lt;/D&gt;&lt;D xsi:type="xsd:double"&gt;-5.3933144&lt;/D&gt;&lt;D xsi:type="xsd:double"&gt;7.542944&lt;/D&gt;&lt;D xsi:type="xsd:double"&gt;1.8995166&lt;/D&gt;&lt;D xsi:type="xsd:double"&gt;-0.38653612&lt;/D&gt;&lt;D xsi:type="xsd:double"&gt;4.508102&lt;/D&gt;&lt;D xsi:type="xsd:double"&gt;7.6553464&lt;/D&gt;&lt;D xsi:type="xsd:double"&gt;2.1099687&lt;/D&gt;&lt;D xsi:type="xsd:double"&gt;-1.5299022&lt;/D&gt;&lt;D xsi:type="xsd:double"&gt;-5.5529537&lt;/D&gt;&lt;D xsi:type="xsd:double"&gt;7.141769&lt;/D&gt;&lt;D xsi:type="xsd:double"&gt;-5.2877483&lt;/D&gt;&lt;D xsi:type="xsd:double"&gt;0.33632517&lt;/D&gt;&lt;D xsi:type="xsd:double"&gt;-1.2737453&lt;/D&gt;&lt;D xsi:type="xsd:double"&gt;-7.7184258&lt;/D&gt;&lt;D xsi:type="xsd:double"&gt;-4.893303&lt;/D&gt;&lt;D xsi:type="xsd:double"&gt;5.067694&lt;/D&gt;&lt;D xsi:type="xsd:double"&gt;6.283748&lt;/D&gt;&lt;D xsi:type="xsd:double"&gt;0.6004691&lt;/D&gt;&lt;D xsi:type="xsd:double"&gt;-6.4738274&lt;/D&gt;&lt;D xsi:type="xsd:double"&gt;5.375552&lt;/D&gt;&lt;D xsi:type="xsd:double"&gt;-0.9550452&lt;/D&gt;&lt;D xsi:type="xsd:double"&gt;-0.023525953&lt;/D&gt;&lt;D xsi:type="xsd:double"&gt;-5.151725&lt;/D&gt;&lt;D xsi:type="xsd:double"&gt;-4.811507&lt;/D&gt;&lt;D xsi:type="xsd:double"&gt;3.7258983&lt;/D&gt;&lt;D xsi:type="xsd:double"&gt;2.6877642&lt;/D&gt;&lt;D xsi:type="xsd:double"&gt;5.703473&lt;/D&gt;&lt;D xsi:type="xsd:double"&gt;3.524232&lt;/D&gt;&lt;D xsi:type="xsd:double"&gt;-2.9563248&lt;/D&gt;&lt;D xsi:type="xsd:double"&gt;3.8541436&lt;/D&gt;&lt;D xsi:type="xsd:double"&gt;-1.4888823&lt;/D&gt;&lt;D xsi:type="xsd:double"&gt;1.6128898&lt;/D&gt;&lt;D xsi:type="xsd:double"&gt;8.158517&lt;/D&gt;&lt;D xsi:type="xsd:double"&gt;1.7857075&lt;/D&gt;&lt;D xsi:type="xsd:double"&gt;3.2466292&lt;/D&gt;&lt;D xsi:type="xsd:double"&gt;-2.0703137&lt;/D&gt;&lt;D xsi:type="xsd:double"&gt;2.3733616&lt;/D&gt;&lt;D xsi:type="xsd:double"&gt;3.1950116&lt;/D&gt;&lt;D xsi:type="xsd:double"&gt;4.795158&lt;/D&gt;&lt;D xsi:type="xsd:double"&gt;1.206994&lt;/D&gt;&lt;/FQL&gt;&lt;FQL&gt;&lt;Q&gt;VNM^FMA_DIV_YLD(NTMA,-10AY,0,AM,"PORTAGG","MEANR")&lt;/Q&gt;&lt;R&gt;121&lt;/R&gt;&lt;C&gt;1&lt;/C&gt;&lt;D xsi:type="xsd:double"&gt;3.47747513251527&lt;/D&gt;&lt;D xsi:type="xsd:double"&gt;3.39816640476386&lt;/D&gt;&lt;D xsi:type="xsd:double"&gt;3.40260182832259&lt;/D&gt;&lt;D xsi:type="xsd:double"&gt;2.95908303817102&lt;/D&gt;&lt;D xsi:type="xsd:double"&gt;3.0143125261248&lt;/D&gt;&lt;D xsi:type="xsd:double"&gt;3.46532456529585&lt;/D&gt;&lt;D xsi:type="xsd:double"&gt;3.02455429132026&lt;/D&gt;&lt;D xsi:type="xsd:double"&gt;3.14062691300825&lt;/D&gt;&lt;D xsi:type="xsd:double"&gt;3.05685237401984&lt;/D&gt;&lt;D xsi:type="xsd:double"&gt;2.93282452830795&lt;/D&gt;&lt;D xsi:type="xsd:double"&gt;2.82977264169403&lt;/D&gt;&lt;D xsi:type="xsd:double"&gt;2.7863469186091&lt;/D&gt;&lt;D xsi:type="xsd:double"&gt;4.14815619479581&lt;/D&gt;&lt;D xsi:type="xsd:double"&gt;4.06853144194334&lt;/D&gt;&lt;D xsi:type="xsd:double"&gt;3.59926456356795&lt;/D&gt;&lt;D xsi:type="xsd:double"&gt;3.03337195739818&lt;/D&gt;&lt;D xsi:type="xsd:double"&gt;2.98098118633461&lt;/D&gt;&lt;D xsi:type="xsd:double"&gt;2.74308481790733&lt;/D&gt;&lt;D xsi:type="xsd:string"&gt;@NA&lt;/D&gt;&lt;D xsi:type="xsd:string"&gt;@NA&lt;/D&gt;&lt;D xsi:type="xsd:double"&gt;2.72272928974773&lt;/D&gt;&lt;D xsi:type="xsd:double"&gt;3.14593038541723&lt;/D&gt;&lt;D xsi:type="xsd:double"&gt;3.18438287911873&lt;/D&gt;&lt;D xsi:type="xsd:double"&gt;3.25522395616727&lt;/D&gt;&lt;D xsi:type="xsd:double"&gt;3.10709899813294&lt;/D&gt;&lt;D xsi:type="xsd:double"&gt;3.02746083937256&lt;/D&gt;&lt;D xsi:type="xsd:double"&gt;2.77450619659298&lt;/D&gt;&lt;D xsi:type="xsd:double"&gt;2.57765885952295&lt;/D&gt;&lt;D xsi:type="xsd:double"&gt;2.66682466436244&lt;/D&gt;&lt;D xsi:type="xsd:double"&gt;2.93083180888341&lt;/D&gt;&lt;D xsi:type="xsd:double"&gt;2.90630776574957&lt;/D&gt;&lt;D xsi:type="xsd:double"&gt;3.05556637747703&lt;/D&gt;&lt;D xsi:type="xsd:double"&gt;2.9990710541441&lt;/D&gt;&lt;D xsi:type="xsd:double"&gt;2.63622513413058&lt;/D&gt;&lt;D xsi:type="xsd:double"&gt;2.36966121279787&lt;/D&gt;&lt;D xsi:type="xsd:double"&gt;1.87761103376625&lt;/D&gt;&lt;D xsi:type="xsd:double"&gt;1.56361139184588&lt;/D&gt;&lt;D xsi:type="xsd:double"&gt;1.76684506354282&lt;/D&gt;&lt;D xsi:type="xsd:double"&gt;1.71901441472981&lt;/D&gt;&lt;D xsi:type="xsd:double"&gt;1.85523297325479&lt;/D&gt;&lt;D xsi:type="xsd:double"&gt;1.91777624901664&lt;/D&gt;&lt;D xsi:type="xsd:double"&gt;1.63322483719415&lt;/D&gt;&lt;D xsi:type="xsd:double"&gt;1.53009238612083&lt;/D&gt;&lt;D xsi:type="xsd:double"&gt;1.81365169415972&lt;/D&gt;&lt;D xsi:type="xsd:double"&gt;1.69061251273069&lt;/D&gt;&lt;D xsi:type="xsd:double"&gt;1.94592185927896&lt;/D&gt;&lt;D xsi:type="xsd:double"&gt;1.74168276279057&lt;/D&gt;&lt;D xsi:type="xsd:double"&gt;1.63880954045873&lt;/D&gt;&lt;D xsi:type="xsd:double"&gt;1.79903325250398&lt;/D&gt;&lt;D xsi:type="xsd:double"&gt;1.51602796850531&lt;/D&gt;&lt;D xsi:type="xsd:double"&gt;1.73082788180667&lt;/D&gt;&lt;D xsi:type="xsd:double"&gt;1.72450328007213&lt;/D&gt;&lt;D xsi:type="xsd:double"&gt;1.95616960979374&lt;/D&gt;&lt;D xsi:type="xsd:double"&gt;1.58508266757721&lt;/D&gt;&lt;D xsi:type="xsd:double"&gt;1.7909513862762&lt;/D&gt;&lt;D xsi:type="xsd:double"&gt;1.6967421672335&lt;/D&gt;&lt;D xsi:type="xsd:double"&gt;1.59014267636571&lt;/D&gt;&lt;D xsi:type="xsd:double"&gt;1.59451659741918&lt;/D&gt;&lt;D xsi:type="xsd:double"&gt;1.52507640090095&lt;/D&gt;&lt;D xsi:type="xsd:double"&gt;1.6204190482458&lt;/D&gt;&lt;D xsi:type="xsd:double"&gt;1.76601798737808&lt;/D&gt;&lt;D xsi:type="xsd:double"&gt;1.92224972072335&lt;/D&gt;&lt;D xsi:type="xsd:double"&gt;1.89017990840498&lt;/D&gt;&lt;D xsi:type="xsd:double"&gt;1.8333576083922&lt;/D&gt;&lt;D xsi:type="xsd:double"&gt;1.67763905600155&lt;/D&gt;&lt;D xsi:type="xsd:double"&gt;1.61679882542281&lt;/D&gt;&lt;D xsi:type="xsd:double"&gt;1.49597977611164&lt;/D&gt;&lt;D xsi:type="xsd:double"&gt;1.58048920027443&lt;/D&gt;&lt;D xsi:type="xsd:double"&gt;2.0396190420403&lt;/D&gt;&lt;D xsi:type="xsd:double"&gt;1.86996615920184&lt;/D&gt;&lt;D xsi:type="xsd:double"&gt;1.38323281885701&lt;/D&gt;&lt;D xsi:type="xsd:double"&gt;1.34890653989547&lt;/D&gt;&lt;D xsi:type="xsd:double"&gt;1.36211084165563&lt;/D&gt;&lt;D xsi:type="xsd:double"&gt;1.39088245568174&lt;/D&gt;&lt;D xsi:type="xsd:double"&gt;1.29966455654329&lt;/D&gt;&lt;D xsi:type="xsd:double"&gt;1.34808725494961&lt;/D&gt;&lt;D xsi:type="xsd:double"&gt;1.33688385928881&lt;/D&gt;&lt;D xsi:type="xsd:double"&gt;1.22525496221865&lt;/D&gt;&lt;D xsi:type="xsd:double"&gt;1.17838519944888&lt;/D&gt;&lt;D xsi:type="xsd:double"&gt;1.18400112530126&lt;/D&gt;&lt;D xsi:type="xsd:double"&gt;1.17206365290449&lt;/D&gt;&lt;D xsi:type="xsd:double"&gt;1.11011787752004&lt;/D&gt;&lt;D xsi:type="xsd:double"&gt;1.21339664470742&lt;/D&gt;&lt;D xsi:type="xsd:double"&gt;1.21571532171733&lt;/D&gt;&lt;D xsi:type="xsd:double"&gt;1.46118576053948&lt;/D&gt;&lt;D xsi:type="xsd:double"&gt;1.40808897659643&lt;/D&gt;&lt;D xsi:type="xsd:double"&gt;1.38742215020831&lt;/D&gt;&lt;D xsi:type="xsd:double"&gt;1.42213707148922&lt;/D&gt;&lt;D xsi:type="xsd:double"&gt;1.36529124321902&lt;/D&gt;&lt;D xsi:type="xsd:double"&gt;1.49641968144767&lt;/D&gt;&lt;D xsi:type="xsd:double"&gt;1.5747981507941&lt;/D&gt;&lt;D xsi:type="xsd:double"&gt;1.68370541583529&lt;/D&gt;&lt;D xsi:type="xsd:double"&gt;1.82603732950128&lt;/D&gt;&lt;D xsi:type="xsd:double"&gt;1.68065202975751&lt;/D&gt;&lt;D xsi:type="xsd:double"&gt;1.82014615470568&lt;/D&gt;&lt;D xsi:type="xsd:double"&gt;1.93318141798525&lt;/D&gt;&lt;D xsi:type="xsd:double"&gt;1.95157852348953&lt;/D&gt;&lt;D xsi:type="xsd:double"&gt;1.92679566997727&lt;/D&gt;&lt;D xsi:type="xsd:double"&gt;2.15196866391064&lt;/D&gt;&lt;D xsi:type="xsd:double"&gt;2.47976890749429&lt;/D&gt;&lt;D xsi:type="xsd:double"&gt;2.58118127798106&lt;/D&gt;&lt;D xsi:type="xsd:double"&gt;2.65946451207201&lt;/D&gt;&lt;D xsi:type="xsd:double"&gt;2.63419066252279&lt;/D&gt;&lt;D xsi:type="xsd:double"&gt;2.56749621585302&lt;/D&gt;&lt;D xsi:type="xsd:double"&gt;2.45542535522181&lt;/D&gt;&lt;D xsi:type="xsd:double"&gt;2.50677924868249&lt;/D&gt;&lt;D xsi:type="xsd:double"&gt;2.54043185869302&lt;/D&gt;&lt;D xsi:type="xsd:double"&gt;2.6132855295918&lt;/D&gt;&lt;D xsi:type="xsd:double"&gt;2.6605324356601&lt;/D&gt;&lt;D xsi:type="xsd:double"&gt;2.5625395079111&lt;/D&gt;&lt;D xsi:type="xsd:double"&gt;2.66901223542294&lt;/D&gt;&lt;D xsi:type="xsd:double"&gt;3.19166473263647&lt;/D&gt;&lt;D xsi:type="xsd:double"&gt;2.92159075257869&lt;/D&gt;&lt;D xsi:type="xsd:double"&gt;2.97774950669456&lt;/D&gt;&lt;D xsi:type="xsd:double"&gt;2.7483540513769&lt;/D&gt;&lt;D xsi:type="xsd:double"&gt;2.80956639105023&lt;/D&gt;&lt;D xsi:type="xsd:double"&gt;2.29889774550956&lt;/D&gt;&lt;D xsi:type="xsd:double"&gt;2.46604167454922&lt;/D&gt;&lt;D xsi:type="xsd:double"&gt;1.98001761123256&lt;/D&gt;&lt;D xsi:type="xsd:double"&gt;1.96748601407057&lt;/D&gt;&lt;D xsi:type="xsd:double"&gt;1.96638461469689&lt;/D&gt;&lt;/FQL&gt;&lt;FQL&gt;&lt;Q&gt;EPHE^FMA_DIV_YLD(NTMA,-10AY,0,AM,"PORTAGG","MEANR")&lt;/Q&gt;&lt;R&gt;121&lt;/R&gt;&lt;C&gt;1&lt;/C&gt;&lt;D xsi:type="xsd:double"&gt;2.08113165171599&lt;/D&gt;&lt;D xsi:type="xsd:double"&gt;2.02267842349967&lt;/D&gt;&lt;D xsi:type="xsd:double"&gt;1.93952063213484&lt;/D&gt;&lt;D xsi:type="xsd:double"&gt;2.28279379222315&lt;/D&gt;&lt;D xsi:type="xsd:double"&gt;2.15980190237202&lt;/D&gt;&lt;D xsi:type="xsd:double"&gt;2.18385661517592&lt;/D&gt;&lt;D xsi:type="xsd:double"&gt;2.0944308429981&lt;/D&gt;&lt;D xsi:type="xsd:double"&gt;1.95316770537233&lt;/D&gt;&lt;D xsi:type="xsd:double"&gt;1.91589303680062&lt;/D&gt;&lt;D xsi:type="xsd:double"&gt;1.88970465284607&lt;/D&gt;&lt;D xsi:type="xsd:double"&gt;1.90655196537701&lt;/D&gt;&lt;D xsi:type="xsd:double"&gt;1.97522565023587&lt;/D&gt;&lt;D xsi:type="xsd:double"&gt;1.90075331753203&lt;/D&gt;&lt;D xsi:type="xsd:double"&gt;1.97225649118413&lt;/D&gt;&lt;D xsi:type="xsd:double"&gt;2.02634106692317&lt;/D&gt;&lt;D xsi:type="xsd:double"&gt;1.99018517550084&lt;/D&gt;&lt;D xsi:type="xsd:double"&gt;2.06689469671552&lt;/D&gt;&lt;D xsi:type="xsd:double"&gt;1.97541610382437&lt;/D&gt;&lt;D xsi:type="xsd:double"&gt;2.15617880876284&lt;/D&gt;&lt;D xsi:type="xsd:double"&gt;1.99087669009222&lt;/D&gt;&lt;D xsi:type="xsd:double"&gt;1.7932233203465&lt;/D&gt;&lt;D xsi:type="xsd:double"&gt;1.80045820352476&lt;/D&gt;&lt;D xsi:type="xsd:double"&gt;1.75193114088749&lt;/D&gt;&lt;D xsi:type="xsd:double"&gt;1.6790820728257&lt;/D&gt;&lt;D xsi:type="xsd:double"&gt;1.634360395285&lt;/D&gt;&lt;D xsi:type="xsd:double"&gt;1.60608088552532&lt;/D&gt;&lt;D xsi:type="xsd:double"&gt;1.6713223158078&lt;/D&gt;&lt;D xsi:type="xsd:double"&gt;1.61843328023374&lt;/D&gt;&lt;D xsi:type="xsd:double"&gt;1.75394645974115&lt;/D&gt;&lt;D xsi:type="xsd:double"&gt;1.79654364080281&lt;/D&gt;&lt;D xsi:type="xsd:double"&gt;1.64750621868244&lt;/D&gt;&lt;D xsi:type="xsd:double"&gt;1.64302393890449&lt;/D&gt;&lt;D xsi:type="xsd:double"&gt;1.63853808504665&lt;/D&gt;&lt;D xsi:type="xsd:double"&gt;1.61185197100206&lt;/D&gt;&lt;D xsi:type="xsd:double"&gt;1.59115463999494&lt;/D&gt;&lt;D xsi:type="xsd:double"&gt;1.55145878749328&lt;/D&gt;&lt;D xsi:type="xsd:double"&gt;1.56570015230186&lt;/D&gt;&lt;D xsi:type="xsd:double"&gt;1.5584586446659&lt;/D&gt;&lt;D xsi:type="xsd:double"&gt;1.52153284967249&lt;/D&gt;&lt;D xsi:type="xsd:double"&gt;1.43233326801884&lt;/D&gt;&lt;D xsi:type="xsd:double"&gt;1.49776539770048&lt;/D&gt;&lt;D xsi:type="xsd:double"&gt;1.56562572873105&lt;/D&gt;&lt;D xsi:type="xsd:double"&gt;1.51380536497473&lt;/D&gt;&lt;D xsi:type="xsd:double"&gt;1.55025987104687&lt;/D&gt;&lt;D xsi:type="xsd:double"&gt;1.60280096671104&lt;/D&gt;&lt;D xsi:type="xsd:double"&gt;1.75021552110181&lt;/D&gt;&lt;D xsi:type="xsd:double"&gt;1.74878688657461&lt;/D&gt;&lt;D xsi:type="xsd:double"&gt;1.82261239103489&lt;/D&gt;&lt;D xsi:type="xsd:double"&gt;1.78551969981092&lt;/D&gt;&lt;D xsi:type="xsd:double"&gt;1.76630355115084&lt;/D&gt;&lt;D xsi:type="xsd:double"&gt;1.85111632560193&lt;/D&gt;&lt;D xsi:type="xsd:double"&gt;1.891806184936&lt;/D&gt;&lt;D xsi:type="xsd:double"&gt;1.86163592182154&lt;/D&gt;&lt;D xsi:type="xsd:double"&gt;1.76220172878&lt;/D&gt;&lt;D xsi:type="xsd:double"&gt;1.65493219109146&lt;/D&gt;&lt;D xsi:type="xsd:double"&gt;1.71416520313128&lt;/D&gt;&lt;D xsi:type="xsd:double"&gt;1.75033808046828&lt;/D&gt;&lt;D xsi:type="xsd:double"&gt;1.74253761298338&lt;/D&gt;&lt;D xsi:type="xsd:double"&gt;1.84299552021041&lt;/D&gt;&lt;D xsi:type="xsd:double"&gt;1.7617251783078&lt;/D&gt;&lt;D xsi:type="xsd:double"&gt;1.69660429985852&lt;/D&gt;&lt;D xsi:type="xsd:double"&gt;1.81196463731574&lt;/D&gt;&lt;D xsi:type="xsd:double"&gt;1.85366850458658&lt;/D&gt;&lt;D xsi:type="xsd:double"&gt;1.85850026329014&lt;/D&gt;&lt;D xsi:type="xsd:double"&gt;1.86078773425767&lt;/D&gt;&lt;D xsi:type="xsd:double"&gt;1.87785552786674&lt;/D&gt;&lt;D xsi:type="xsd:double"&gt;1.855349939626&lt;/D&gt;&lt;D xsi:type="xsd:double"&gt;1.92731358722969&lt;/D&gt;&lt;D xsi:type="xsd:double"&gt;3.06358424091898&lt;/D&gt;&lt;D xsi:type="xsd:double"&gt;2.42031955191939&lt;/D&gt;&lt;D xsi:type="xsd:double"&gt;2.4237088070967&lt;/D&gt;&lt;D xsi:type="xsd:double"&gt;2.08175765447784&lt;/D&gt;&lt;D xsi:type="xsd:double"&gt;2.10465969630178&lt;/D&gt;&lt;D xsi:type="xsd:double"&gt;2.05970142794432&lt;/D&gt;&lt;D xsi:type="xsd:double"&gt;2.08439245823108&lt;/D&gt;&lt;D xsi:type="xsd:double"&gt;1.93579383300246&lt;/D&gt;&lt;D xsi:type="xsd:double"&gt;1.63773833731412&lt;/D&gt;&lt;D xsi:type="xsd:double"&gt;1.66676469113415&lt;/D&gt;&lt;D xsi:type="xsd:double"&gt;1.68744816437505&lt;/D&gt;&lt;D xsi:type="xsd:double"&gt;1.78772390015426&lt;/D&gt;&lt;D xsi:type="xsd:double"&gt;1.88009830836936&lt;/D&gt;&lt;D xsi:type="xsd:double"&gt;1.9481816979547&lt;/D&gt;&lt;D xsi:type="xsd:double"&gt;2.15389521247719&lt;/D&gt;&lt;D xsi:type="xsd:double"&gt;1.93254601357532&lt;/D&gt;&lt;D xsi:type="xsd:double"&gt;2.01095478019643&lt;/D&gt;&lt;D xsi:type="xsd:double"&gt;2.00169162878476&lt;/D&gt;&lt;D xsi:type="xsd:double"&gt;1.86032060776475&lt;/D&gt;&lt;D xsi:type="xsd:double"&gt;1.79185955026512&lt;/D&gt;&lt;D xsi:type="xsd:double"&gt;1.76804820421632&lt;/D&gt;&lt;D xsi:type="xsd:double"&gt;1.75148595702875&lt;/D&gt;&lt;D xsi:type="xsd:double"&gt;1.80628720837395&lt;/D&gt;&lt;D xsi:type="xsd:double"&gt;1.81220166741682&lt;/D&gt;&lt;D xsi:type="xsd:double"&gt;1.95573110364152&lt;/D&gt;&lt;D xsi:type="xsd:double"&gt;2.04537656099469&lt;/D&gt;&lt;D xsi:type="xsd:double"&gt;2.35407843548825&lt;/D&gt;&lt;D xsi:type="xsd:double"&gt;2.32808017941556&lt;/D&gt;&lt;D xsi:type="xsd:double"&gt;2.47058341924814&lt;/D&gt;&lt;D xsi:type="xsd:double"&gt;2.23873020420532&lt;/D&gt;&lt;D xsi:type="xsd:double"&gt;2.3883818366195&lt;/D&gt;&lt;D xsi:type="xsd:double"&gt;2.58982668676414&lt;/D&gt;&lt;D xsi:type="xsd:double"&gt;2.46612206123882&lt;/D&gt;&lt;D xsi:type="xsd:double"&gt;2.4263659528298&lt;/D&gt;&lt;D xsi:type="xsd:double"&gt;2.22503012820161&lt;/D&gt;&lt;D xsi:type="xsd:double"&gt;2.32623949935162&lt;/D&gt;&lt;D xsi:type="xsd:double"&gt;2.72804267021466&lt;/D&gt;&lt;D xsi:type="xsd:double"&gt;2.80583091421921&lt;/D&gt;&lt;D xsi:type="xsd:double"&gt;2.73147106534544&lt;/D&gt;&lt;D xsi:type="xsd:double"&gt;2.94388128158334&lt;/D&gt;&lt;D xsi:type="xsd:double"&gt;2.95935128466486&lt;/D&gt;&lt;D xsi:type="xsd:double"&gt;3.04223512034299&lt;/D&gt;&lt;D xsi:type="xsd:double"&gt;2.90109431191883&lt;/D&gt;&lt;D xsi:type="xsd:double"&gt;2.8986249249216&lt;/D&gt;&lt;D xsi:type="xsd:double"&gt;3.07101937811747&lt;/D&gt;&lt;D xsi:type="xsd:double"&gt;3.18415641303445&lt;/D&gt;&lt;D xsi:type="xsd:double"&gt;3.16716233269277&lt;/D&gt;&lt;D xsi:type="xsd:double"&gt;2.82222567578601&lt;/D&gt;&lt;D xsi:type="xsd:double"&gt;2.73826706835552&lt;/D&gt;&lt;D xsi:type="xsd:double"&gt;2.96822686079127&lt;/D&gt;&lt;D xsi:type="xsd:double"&gt;3.16222029624625&lt;/D&gt;&lt;D xsi:type="xsd:double"&gt;3.36616879524834&lt;/D&gt;&lt;D xsi:type="xsd:double"&gt;3.25622146311468&lt;/D&gt;&lt;/FQL&gt;&lt;FQL&gt;&lt;Q&gt;EWY^FMA_PE(NTMA,-10AY,0,AM,"PORTAGG","MEANR")&lt;/Q&gt;&lt;R&gt;121&lt;/R&gt;&lt;C&gt;1&lt;/C&gt;&lt;D xsi:type="xsd:double"&gt;9.89302012234991&lt;/D&gt;&lt;D xsi:type="xsd:double"&gt;10.3204556042667&lt;/D&gt;&lt;D xsi:type="xsd:double"&gt;10.2859278514589&lt;/D&gt;&lt;D xsi:type="xsd:double"&gt;9.21332816977369&lt;/D&gt;&lt;D xsi:type="xsd:double"&gt;9.71169919221533&lt;/D&gt;&lt;D xsi:type="xsd:double"&gt;9.62494754776205&lt;/D&gt;&lt;D xsi:type="xsd:double"&gt;9.36033783739593&lt;/D&gt;&lt;D xsi:type="xsd:double"&gt;9.80209143121865&lt;/D&gt;&lt;D xsi:type="xsd:double"&gt;10.0758799419079&lt;/D&gt;&lt;D xsi:type="xsd:double"&gt;10.3368541095593&lt;/D&gt;&lt;D xsi:type="xsd:double"&gt;9.91903652286323&lt;/D&gt;&lt;D xsi:type="xsd:double"&gt;9.48366687219627&lt;/D&gt;&lt;D xsi:type="xsd:double"&gt;9.56775285460386&lt;/D&gt;&lt;D xsi:type="xsd:double"&gt;9.38634249965153&lt;/D&gt;&lt;D xsi:type="xsd:double"&gt;9.73052715931232&lt;/D&gt;&lt;D xsi:type="xsd:double"&gt;10.114942771984&lt;/D&gt;&lt;D xsi:type="xsd:double"&gt;10.1702951318748&lt;/D&gt;&lt;D xsi:type="xsd:double"&gt;10.0212611279593&lt;/D&gt;&lt;D xsi:type="xsd:double"&gt;9.87924729711874&lt;/D&gt;&lt;D xsi:type="xsd:double"&gt;10.3157805808976&lt;/D&gt;&lt;D xsi:type="xsd:double"&gt;10.659205535557&lt;/D&gt;&lt;D xsi:type="xsd:double"&gt;10.618196604883&lt;/D&gt;&lt;D xsi:type="xsd:double"&gt;9.81165452435716&lt;/D&gt;&lt;D xsi:type="xsd:double"&gt;9.83837940227898&lt;/D&gt;&lt;D xsi:type="xsd:double"&gt;10.1131171433605&lt;/D&gt;&lt;D xsi:type="xsd:double"&gt;10.1962014544404&lt;/D&gt;&lt;D xsi:type="xsd:double"&gt;9.97526808618767&lt;/D&gt;&lt;D xsi:type="xsd:double"&gt;10.0645693093739&lt;/D&gt;&lt;D xsi:type="xsd:double"&gt;9.59502799894762&lt;/D&gt;&lt;D xsi:type="xsd:double"&gt;9.88681188719256&lt;/D&gt;&lt;D xsi:type="xsd:double"&gt;9.8106127026009&lt;/D&gt;&lt;D xsi:type="xsd:double"&gt;9.42228169265711&lt;/D&gt;&lt;D xsi:type="xsd:double"&gt;9.77596318952646&lt;/D&gt;&lt;D xsi:type="xsd:double"&gt;9.07750916943133&lt;/D&gt;&lt;D xsi:type="xsd:double"&gt;9.38861323011225&lt;/D&gt;&lt;D xsi:type="xsd:double"&gt;9.52889008410901&lt;/D&gt;&lt;D xsi:type="xsd:double"&gt;9.61534209841146&lt;/D&gt;&lt;D xsi:type="xsd:double"&gt;9.12591895057914&lt;/D&gt;&lt;D xsi:type="xsd:double"&gt;9.30013344991431&lt;/D&gt;&lt;D xsi:type="xsd:double"&gt;9.38023551320783&lt;/D&gt;&lt;D xsi:type="xsd:double"&gt;9.38721870526981&lt;/D&gt;&lt;D xsi:type="xsd:double"&gt;9.15080351852205&lt;/D&gt;&lt;D xsi:type="xsd:double"&gt;9.27347880744517&lt;/D&gt;&lt;D xsi:type="xsd:double"&gt;8.97438295611793&lt;/D&gt;&lt;D xsi:type="xsd:double"&gt;9.10000512729613&lt;/D&gt;&lt;D xsi:type="xsd:double"&gt;9.07416234809677&lt;/D&gt;&lt;D xsi:type="xsd:double"&gt;8.77879084476915&lt;/D&gt;&lt;D xsi:type="xsd:double"&gt;8.51617814465525&lt;/D&gt;&lt;D xsi:type="xsd:double"&gt;8.31453193513836&lt;/D&gt;&lt;D xsi:type="xsd:double"&gt;8.08660637786956&lt;/D&gt;&lt;D xsi:type="xsd:double"&gt;8.28670760448809&lt;/D&gt;&lt;D xsi:type="xsd:double"&gt;7.82073268760829&lt;/D&gt;&lt;D xsi:type="xsd:double"&gt;7.95784079528809&lt;/D&gt;&lt;D xsi:type="xsd:double"&gt;8.37080320119731&lt;/D&gt;&lt;D xsi:type="xsd:double"&gt;9.1490788010211&lt;/D&gt;&lt;D xsi:type="xsd:double"&gt;10.2608963123745&lt;/D&gt;&lt;D xsi:type="xsd:double"&gt;10.5765086552877&lt;/D&gt;&lt;D xsi:type="xsd:double"&gt;11.1727993814722&lt;/D&gt;&lt;D xsi:type="xsd:double"&gt;10.5424235730081&lt;/D&gt;&lt;D xsi:type="xsd:double"&gt;11.0777903033991&lt;/D&gt;&lt;D xsi:type="xsd:double"&gt;11.2940842105886&lt;/D&gt;&lt;D xsi:type="xsd:double"&gt;10.5808368153478&lt;/D&gt;&lt;D xsi:type="xsd:double"&gt;11.1462421735701&lt;/D&gt;&lt;D xsi:type="xsd:double"&gt;10.9410045134117&lt;/D&gt;&lt;D xsi:type="xsd:double"&gt;11.516753646495&lt;/D&gt;&lt;D xsi:type="xsd:double"&gt;11.4964630089543&lt;/D&gt;&lt;D xsi:type="xsd:double"&gt;11.6665018349985&lt;/D&gt;&lt;D xsi:type="xsd:double"&gt;11.3751203914005&lt;/D&gt;&lt;D xsi:type="xsd:double"&gt;7.63365754761157&lt;/D&gt;&lt;D xsi:type="xsd:double"&gt;10.8506449563759&lt;/D&gt;&lt;D xsi:type="xsd:double"&gt;11.8809181888143&lt;/D&gt;&lt;D xsi:type="xsd:double"&gt;12.7359826042865&lt;/D&gt;&lt;D xsi:type="xsd:double"&gt;12.7862466922167&lt;/D&gt;&lt;D xsi:type="xsd:double"&gt;13.1041799345352&lt;/D&gt;&lt;D xsi:type="xsd:double"&gt;12.9341533411569&lt;/D&gt;&lt;D xsi:type="xsd:double"&gt;12.1578578688591&lt;/D&gt;&lt;D xsi:type="xsd:double"&gt;12.5626776691912&lt;/D&gt;&lt;D xsi:type="xsd:double"&gt;13.216504288911&lt;/D&gt;&lt;D xsi:type="xsd:double"&gt;14.4434546711981&lt;/D&gt;&lt;D xsi:type="xsd:double"&gt;13.8542482965583&lt;/D&gt;&lt;D xsi:type="xsd:double"&gt;13.1859641058292&lt;/D&gt;&lt;D xsi:type="xsd:double"&gt;13.1787553469764&lt;/D&gt;&lt;D xsi:type="xsd:double"&gt;11.2092769983371&lt;/D&gt;&lt;D xsi:type="xsd:double"&gt;11.3269430783804&lt;/D&gt;&lt;D xsi:type="xsd:double"&gt;10.9682170466685&lt;/D&gt;&lt;D xsi:type="xsd:double"&gt;10.0859589748706&lt;/D&gt;&lt;D xsi:type="xsd:double"&gt;10.3125362306583&lt;/D&gt;&lt;D xsi:type="xsd:double"&gt;10.110565960793&lt;/D&gt;&lt;D xsi:type="xsd:double"&gt;10.0791919756512&lt;/D&gt;&lt;D xsi:type="xsd:double"&gt;10.3864847101005&lt;/D&gt;&lt;D xsi:type="xsd:double"&gt;9.71934859578804&lt;/D&gt;&lt;D xsi:type="xsd:double"&gt;9.50409833457675&lt;/D&gt;&lt;D xsi:type="xsd:double"&gt;9.3562607304099&lt;/D&gt;&lt;D xsi:type="xsd:double"&gt;9.21269178838142&lt;/D&gt;&lt;D xsi:type="xsd:double"&gt;8.77651631102959&lt;/D&gt;&lt;D xsi:type="xsd:double"&gt;8.25299487495067&lt;/D&gt;&lt;D xsi:type="xsd:double"&gt;8.39851471923446&lt;/D&gt;&lt;D xsi:type="xsd:double"&gt;8.81321177289602&lt;/D&gt;&lt;D xsi:type="xsd:double"&gt;8.56778128919883&lt;/D&gt;&lt;D xsi:type="xsd:double"&gt;9.00577825123698&lt;/D&gt;&lt;D xsi:type="xsd:double"&gt;10.6760257796294&lt;/D&gt;&lt;D xsi:type="xsd:double"&gt;10.8772741940112&lt;/D&gt;&lt;D xsi:type="xsd:double"&gt;11.5716177678825&lt;/D&gt;&lt;D xsi:type="xsd:double"&gt;12.8267110641858&lt;/D&gt;&lt;D xsi:type="xsd:double"&gt;12.9592312946786&lt;/D&gt;&lt;D xsi:type="xsd:double"&gt;14.3301047662359&lt;/D&gt;&lt;D xsi:type="xsd:double"&gt;13.1648127700203&lt;/D&gt;&lt;D xsi:type="xsd:double"&gt;12.7695424130891&lt;/D&gt;&lt;D xsi:type="xsd:double"&gt;12.1434886854195&lt;/D&gt;&lt;D xsi:type="xsd:double"&gt;11.1256157874178&lt;/D&gt;&lt;D xsi:type="xsd:double"&gt;11.1582351697521&lt;/D&gt;&lt;D xsi:type="xsd:double"&gt;10.2498545681889&lt;/D&gt;&lt;D xsi:type="xsd:double"&gt;10.2011573527586&lt;/D&gt;&lt;D xsi:type="xsd:double"&gt;10.1995880125262&lt;/D&gt;&lt;D xsi:type="xsd:double"&gt;9.64136164783705&lt;/D&gt;&lt;D xsi:type="xsd:double"&gt;10.5282693239734&lt;/D&gt;&lt;D xsi:type="xsd:double"&gt;10.3970283828222&lt;/D&gt;&lt;D xsi:type="xsd:double"&gt;9.87920804853807&lt;/D&gt;&lt;D xsi:type="xsd:double"&gt;9.95654329022489&lt;/D&gt;&lt;D xsi:type="xsd:double"&gt;9.76888877476839&lt;/D&gt;&lt;D xsi:type="xsd:double"&gt;9.5626807818099&lt;/D&gt;&lt;/FQL&gt;&lt;FQL&gt;&lt;Q&gt;QAT^FMA_PE(LTMA,-10AY,0,AM,"PORTAGG","MEANR")&lt;/Q&gt;&lt;R&gt;121&lt;/R&gt;&lt;C&gt;1&lt;/C&gt;&lt;D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xsi:type="xsd:double"&gt;14.6141315995338&lt;/D&gt;&lt;D xsi:type="xsd:double"&gt;15.141652399676&lt;/D&gt;&lt;D xsi:type="xsd:double"&gt;14.8074823867044&lt;/D&gt;&lt;D xsi:type="xsd:double"&gt;14.7892368614645&lt;/D&gt;&lt;D xsi:type="xsd:double"&gt;14.8007463054535&lt;/D&gt;&lt;D xsi:type="xsd:double"&gt;14.5129146806712&lt;/D&gt;&lt;D xsi:type="xsd:double"&gt;14.653096465998&lt;/D&gt;&lt;D xsi:type="xsd:double"&gt;14.2450454227316&lt;/D&gt;&lt;D xsi:type="xsd:double"&gt;14.0042745707484&lt;/D&gt;&lt;D xsi:type="xsd:double"&gt;14.1118932362859&lt;/D&gt;&lt;D xsi:type="xsd:double"&gt;13.049723963648&lt;/D&gt;&lt;D xsi:type="xsd:double"&gt;10.9091113275245&lt;/D&gt;&lt;D xsi:type="xsd:double"&gt;10.5197271803044&lt;/D&gt;&lt;D xsi:type="xsd:double"&gt;12.2253947552985&lt;/D&gt;&lt;D xsi:type="xsd:double"&gt;12.1381864887064&lt;/D&gt;&lt;D xsi:type="xsd:double"&gt;12.2516536872355&lt;/D&gt;&lt;D xsi:type="xsd:double"&gt;12.0145055584078&lt;/D&gt;&lt;D xsi:type="xsd:double"&gt;12.1808022399454&lt;/D&gt;&lt;D xsi:type="xsd:double"&gt;12.7092678147111&lt;/D&gt;&lt;D xsi:type="xsd:double"&gt;13.5733314588944&lt;/D&gt;&lt;D xsi:type="xsd:double"&gt;12.7961369105129&lt;/D&gt;&lt;D xsi:type="xsd:double"&gt;13.5027461594585&lt;/D&gt;&lt;D xsi:type="xsd:double"&gt;12.9786938007699&lt;/D&gt;&lt;D xsi:type="xsd:double"&gt;13.9705090822404&lt;/D&gt;&lt;D xsi:type="xsd:double"&gt;15.1601079675308&lt;/D&gt;&lt;D xsi:type="xsd:double"&gt;14.9374596427881&lt;/D&gt;&lt;D xsi:type="xsd:double"&gt;14.7438808633744&lt;/D&gt;&lt;D xsi:type="xsd:double"&gt;14.6811555444799&lt;/D&gt;&lt;D xsi:type="xsd:double"&gt;14.6158289639664&lt;/D&gt;&lt;D xsi:type="xsd:double"&gt;14.0545448508712&lt;/D&gt;&lt;D xsi:type="xsd:double"&gt;14.2337210585926&lt;/D&gt;&lt;D xsi:type="xsd:double"&gt;13.9522477508164&lt;/D&gt;&lt;D xsi:type="xsd:double"&gt;12.7725404206335&lt;/D&gt;&lt;D xsi:type="xsd:double"&gt;12.6549142232253&lt;/D&gt;&lt;D xsi:type="xsd:double"&gt;12.3994315317129&lt;/D&gt;&lt;D xsi:type="xsd:double"&gt;13.5677039864174&lt;/D&gt;&lt;D xsi:type="xsd:double"&gt;13.6564118682146&lt;/D&gt;&lt;D xsi:type="xsd:double"&gt;13.4653287366503&lt;/D&gt;&lt;D xsi:type="xsd:double"&gt;12.814113602608&lt;/D&gt;&lt;D xsi:type="xsd:double"&gt;12.8335071199698&lt;/D&gt;&lt;D xsi:type="xsd:double"&gt;12.5656964727328&lt;/D&gt;&lt;D xsi:type="xsd:double"&gt;12.5708900832379&lt;/D&gt;&lt;D xsi:type="xsd:double"&gt;12.5794313841229&lt;/D&gt;&lt;D xsi:type="xsd:double"&gt;12.8103223924326&lt;/D&gt;&lt;D xsi:type="xsd:double"&gt;13.0665021983582&lt;/D&gt;&lt;D xsi:type="xsd:double"&gt;13.4096721525673&lt;/D&gt;&lt;D xsi:type="xsd:double"&gt;13.9677231501556&lt;/D&gt;&lt;D xsi:type="xsd:double"&gt;14.2618641585205&lt;/D&gt;&lt;D xsi:type="xsd:double"&gt;14.7747883795401&lt;/D&gt;&lt;D xsi:type="xsd:double"&gt;13.3323773952105&lt;/D&gt;&lt;D xsi:type="xsd:double"&gt;13.5268316435781&lt;/D&gt;&lt;D xsi:type="xsd:double"&gt;13.6317509337455&lt;/D&gt;&lt;D xsi:type="xsd:double"&gt;13.3132047174875&lt;/D&gt;&lt;D xsi:type="xsd:double"&gt;13.6927144695453&lt;/D&gt;&lt;D xsi:type="xsd:double"&gt;13.8498630895936&lt;/D&gt;&lt;D xsi:type="xsd:double"&gt;13.2858016479767&lt;/D&gt;&lt;D xsi:type="xsd:double"&gt;14.0239589978433&lt;/D&gt;&lt;D xsi:type="xsd:double"&gt;14.2296104034892&lt;/D&gt;&lt;D xsi:type="xsd:double"&gt;14.1735068601381&lt;/D&gt;&lt;D xsi:type="xsd:double"&gt;14.4706422980165&lt;/D&gt;&lt;D xsi:type="xsd:double"&gt;15.3983305448433&lt;/D&gt;&lt;D xsi:type="xsd:double"&gt;14.21670456157&lt;/D&gt;&lt;D xsi:type="xsd:double"&gt;13.6014479585097&lt;/D&gt;&lt;D xsi:type="xsd:double"&gt;13.6508831962907&lt;/D&gt;&lt;D xsi:type="xsd:double"&gt;14.2669321104617&lt;/D&gt;&lt;D xsi:type="xsd:double"&gt;14.8386472642615&lt;/D&gt;&lt;D xsi:type="xsd:double"&gt;15.5187134613235&lt;/D&gt;&lt;D xsi:type="xsd:double"&gt;16.265363418858&lt;/D&gt;&lt;D xsi:type="xsd:double"&gt;16.1144158054588&lt;/D&gt;&lt;D xsi:type="xsd:double"&gt;16.5524648007958&lt;/D&gt;&lt;D xsi:type="xsd:double"&gt;17.3012052230105&lt;/D&gt;&lt;D xsi:type="xsd:double"&gt;17.3749569959527&lt;/D&gt;&lt;D xsi:type="xsd:double"&gt;17.6533444223755&lt;/D&gt;&lt;D xsi:type="xsd:double"&gt;16.4793937576362&lt;/D&gt;&lt;D xsi:type="xsd:double"&gt;16.7723060466381&lt;/D&gt;&lt;D xsi:type="xsd:double"&gt;16.651114864299&lt;/D&gt;&lt;D xsi:type="xsd:double"&gt;16.3550772077683&lt;/D&gt;&lt;D xsi:type="xsd:double"&gt;16.019302680413&lt;/D&gt;&lt;D xsi:type="xsd:double"&gt;15.5080429053992&lt;/D&gt;&lt;D xsi:type="xsd:double"&gt;15.502792407377&lt;/D&gt;&lt;D xsi:type="xsd:double"&gt;15.3558695241333&lt;/D&gt;&lt;D xsi:type="xsd:double"&gt;15.5160591193506&lt;/D&gt;&lt;D xsi:type="xsd:double"&gt;15.5972462382052&lt;/D&gt;&lt;D xsi:type="xsd:double"&gt;14.91549823655&lt;/D&gt;&lt;D xsi:type="xsd:double"&gt;15.5210969723377&lt;/D&gt;&lt;D xsi:type="xsd:double"&gt;16.0839453811356&lt;/D&gt;&lt;D xsi:type="xsd:double"&gt;16.2319532714455&lt;/D&gt;&lt;D xsi:type="xsd:double"&gt;16.0208055599076&lt;/D&gt;&lt;D xsi:type="xsd:double"&gt;15.3523758059433&lt;/D&gt;&lt;D xsi:type="xsd:double"&gt;14.8549474964332&lt;/D&gt;&lt;D xsi:type="xsd:double"&gt;14.6079224188883&lt;/D&gt;&lt;D xsi:type="xsd:double"&gt;15.7259921103922&lt;/D&gt;&lt;D xsi:type="xsd:double"&gt;14.6280479208925&lt;/D&gt;&lt;D xsi:type="xsd:double"&gt;14.0859095495316&lt;/D&gt;&lt;D xsi:type="xsd:double"&gt;13.7987669095305&lt;/D&gt;&lt;D xsi:type="xsd:double"&gt;12.3154730886749&lt;/D&gt;&lt;D xsi:type="xsd:double"&gt;12.2147641974955&lt;/D&gt;&lt;D xsi:type="xsd:double"&gt;11.9734780614079&lt;/D&gt;&lt;D xsi:type="xsd:double"&gt;11.6604184399478&lt;/D&gt;&lt;D xsi:type="xsd:double"&gt;11.5979297011625&lt;/D&gt;&lt;D xsi:type="xsd:double"&gt;11.788892452637&lt;/D&gt;&lt;D xsi:type="xsd:double"&gt;11.8182812115295&lt;/D&gt;&lt;D xsi:type="xsd:double"&gt;11.8798334368989&lt;/D&gt;&lt;D xsi:type="xsd:double"&gt;11.9755004739526&lt;/D&gt;&lt;D xsi:type="xsd:double"&gt;11.6834192682602&lt;/D&gt;&lt;D xsi:type="xsd:double"&gt;11.2227509227079&lt;/D&gt;&lt;D xsi:type="xsd:double"&gt;11.6810935392465&lt;/D&gt;&lt;D xsi:type="xsd:double"&gt;11.451180279396&lt;/D&gt;&lt;D xsi:type="xsd:double"&gt;11.6219825526401&lt;/D&gt;&lt;D xsi:type="xsd:double"&gt;11.4621258239406&lt;/D&gt;&lt;D xsi:type="xsd:double"&gt;11.4459044626971&lt;/D&gt;&lt;D xsi:type="xsd:double"&gt;11.2284039030464&lt;/D&gt;&lt;D xsi:type="xsd:double"&gt;11.0733729111057&lt;/D&gt;&lt;D xsi:type="xsd:double"&gt;10.895448311031&lt;/D&gt;&lt;D xsi:type="xsd:double"&gt;11.0731880800633&lt;/D&gt;&lt;/FQL&gt;&lt;FQL&gt;&lt;Q&gt;ECH^JULIAN(FMA_DIV_YLD(LTMA,-10AY,0,AM,"PORTAGG","MEANR").DATES)&lt;/Q&gt;&lt;R&gt;121&lt;/R&gt;&lt;C&gt;1&lt;/C&gt;&lt;D xsi:type="xsd:long"&gt;41838&lt;/D&gt;&lt;D xsi:type="xsd:long"&gt;41870&lt;/D&gt;&lt;D xsi:type="xsd:long"&gt;41901&lt;/D&gt;&lt;D xsi:type="xsd:long"&gt;41929&lt;/D&gt;&lt;D xsi:type="xsd:long"&gt;41962&lt;/D&gt;&lt;D xsi:type="xsd:long"&gt;41992&lt;/D&gt;&lt;D xsi:type="xsd:long"&gt;42020&lt;/D&gt;&lt;D xsi:type="xsd:long"&gt;42054&lt;/D&gt;&lt;D xsi:type="xsd:long"&gt;42082&lt;/D&gt;&lt;D xsi:type="xsd:long"&gt;42111&lt;/D&gt;&lt;D xsi:type="xsd:long"&gt;42143&lt;/D&gt;&lt;D xsi:type="xsd:long"&gt;42174&lt;/D&gt;&lt;D xsi:type="xsd:long"&gt;42202&lt;/D&gt;&lt;D xsi:type="xsd:long"&gt;42235&lt;/D&gt;&lt;D xsi:type="xsd:long"&gt;42265&lt;/D&gt;&lt;D xsi:type="xsd:long"&gt;42296&lt;/D&gt;&lt;D xsi:type="xsd:long"&gt;42327&lt;/D&gt;&lt;D xsi:type="xsd:long"&gt;42356&lt;/D&gt;&lt;D xsi:type="xsd:long"&gt;42388&lt;/D&gt;&lt;D xsi:type="xsd:long"&gt;42419&lt;/D&gt;&lt;D xsi:type="xsd:long"&gt;42447&lt;/D&gt;&lt;D xsi:type="xsd:long"&gt;42479&lt;/D&gt;&lt;D xsi:type="xsd:long"&gt;42509&lt;/D&gt;&lt;D xsi:type="xsd:long"&gt;42538&lt;/D&gt;&lt;D xsi:type="xsd:long"&gt;42570&lt;/D&gt;&lt;D xsi:type="xsd:long"&gt;42601&lt;/D&gt;&lt;D xsi:type="xsd:long"&gt;42632&lt;/D&gt;&lt;D xsi:type="xsd:long"&gt;42662&lt;/D&gt;&lt;D xsi:type="xsd:long"&gt;42692&lt;/D&gt;&lt;D xsi:type="xsd:long"&gt;42723&lt;/D&gt;&lt;D xsi:type="xsd:long"&gt;42754&lt;/D&gt;&lt;D xsi:type="xsd:long"&gt;42783&lt;/D&gt;&lt;D xsi:type="xsd:long"&gt;42811&lt;/D&gt;&lt;D xsi:type="xsd:long"&gt;42844&lt;/D&gt;&lt;D xsi:type="xsd:long"&gt;42874&lt;/D&gt;&lt;D xsi:type="xsd:long"&gt;42905&lt;/D&gt;&lt;D xsi:type="xsd:long"&gt;42935&lt;/D&gt;&lt;D xsi:type="xsd:long"&gt;42965&lt;/D&gt;&lt;D xsi:type="xsd:long"&gt;42997&lt;/D&gt;&lt;D xsi:type="xsd:long"&gt;43027&lt;/D&gt;&lt;D xsi:type="xsd:long"&gt;43056&lt;/D&gt;&lt;D xsi:type="xsd:long"&gt;43088&lt;/D&gt;&lt;D xsi:type="xsd:long"&gt;43119&lt;/D&gt;&lt;D xsi:type="xsd:long"&gt;43147&lt;/D&gt;&lt;D xsi:type="xsd:long"&gt;43178&lt;/D&gt;&lt;D xsi:type="xsd:long"&gt;43209&lt;/D&gt;&lt;D xsi:type="xsd:long"&gt;43238&lt;/D&gt;&lt;D xsi:type="xsd:long"&gt;43270&lt;/D&gt;&lt;D xsi:type="xsd:long"&gt;43300&lt;/D&gt;&lt;D xsi:type="xsd:long"&gt;43329&lt;/D&gt;&lt;D xsi:type="xsd:long"&gt;43362&lt;/D&gt;&lt;D xsi:type="xsd:long"&gt;43392&lt;/D&gt;&lt;D xsi:type="xsd:long"&gt;43423&lt;/D&gt;&lt;D xsi:type="xsd:long"&gt;43453&lt;/D&gt;&lt;D xsi:type="xsd:long"&gt;43483&lt;/D&gt;&lt;D xsi:type="xsd:long"&gt;43515&lt;/D&gt;&lt;D xsi:type="xsd:long"&gt;43543&lt;/D&gt;&lt;D xsi:type="xsd:long"&gt;43573&lt;/D&gt;&lt;D xsi:type="xsd:long"&gt;43602&lt;/D&gt;&lt;D xsi:type="xsd:long"&gt;43635&lt;/D&gt;&lt;D xsi:type="xsd:long"&gt;43665&lt;/D&gt;&lt;D xsi:type="xsd:long"&gt;43696&lt;/D&gt;&lt;D xsi:type="xsd:long"&gt;43727&lt;/D&gt;&lt;D xsi:type="xsd:long"&gt;43756&lt;/D&gt;&lt;D xsi:type="xsd:long"&gt;43788&lt;/D&gt;&lt;D xsi:type="xsd:long"&gt;43818&lt;/D&gt;&lt;D xsi:type="xsd:long"&gt;43847&lt;/D&gt;&lt;D xsi:type="xsd:long"&gt;43880&lt;/D&gt;&lt;D xsi:type="xsd:long"&gt;43909&lt;/D&gt;&lt;D xsi:type="xsd:long"&gt;43938&lt;/D&gt;&lt;D xsi:type="xsd:long"&gt;43970&lt;/D&gt;&lt;D xsi:type="xsd:long"&gt;44001&lt;/D&gt;&lt;D xsi:type="xsd:long"&gt;44029&lt;/D&gt;&lt;D xsi:type="xsd:long"&gt;44062&lt;/D&gt;&lt;D xsi:type="xsd:long"&gt;44092&lt;/D&gt;&lt;D xsi:type="xsd:long"&gt;44123&lt;/D&gt;&lt;D xsi:type="xsd:long"&gt;44154&lt;/D&gt;&lt;D xsi:type="xsd:long"&gt;44183&lt;/D&gt;&lt;D xsi:type="xsd:long"&gt;44215&lt;/D&gt;&lt;D xsi:type="xsd:long"&gt;44246&lt;/D&gt;&lt;D xsi:type="xsd:long"&gt;44274&lt;/D&gt;&lt;D xsi:type="xsd:long"&gt;44305&lt;/D&gt;&lt;D xsi:type="xsd:long"&gt;44335&lt;/D&gt;&lt;D xsi:type="xsd:long"&gt;44365&lt;/D&gt;&lt;D xsi:type="xsd:long"&gt;44396&lt;/D&gt;&lt;D xsi:type="xsd:long"&gt;44427&lt;/D&gt;&lt;D xsi:type="xsd:long"&gt;44456&lt;/D&gt;&lt;D xsi:type="xsd:long"&gt;44488&lt;/D&gt;&lt;D xsi:type="xsd:long"&gt;44519&lt;/D&gt;&lt;D xsi:type="xsd:long"&gt;44547&lt;/D&gt;&lt;D xsi:type="xsd:long"&gt;44580&lt;/D&gt;&lt;D xsi:type="xsd:long"&gt;44610&lt;/D&gt;&lt;D xsi:type="xsd:long"&gt;44638&lt;/D&gt;&lt;D xsi:type="xsd:long"&gt;44670&lt;/D&gt;&lt;D xsi:type="xsd:long"&gt;44700&lt;/D&gt;&lt;D xsi:type="xsd:long"&gt;44729&lt;/D&gt;&lt;D xsi:type="xsd:long"&gt;44761&lt;/D&gt;&lt;D xsi:type="xsd:long"&gt;44792&lt;/D&gt;&lt;D xsi:type="xsd:long"&gt;44823&lt;/D&gt;&lt;D xsi:type="xsd:long"&gt;44853&lt;/D&gt;&lt;D xsi:type="xsd:long"&gt;44883&lt;/D&gt;&lt;D xsi:type="xsd:long"&gt;44914&lt;/D&gt;&lt;D xsi:type="xsd:long"&gt;44945&lt;/D&gt;&lt;D xsi:type="xsd:long"&gt;44974&lt;/D&gt;&lt;D xsi:type="xsd:long"&gt;45002&lt;/D&gt;&lt;D xsi:type="xsd:long"&gt;45035&lt;/D&gt;&lt;D xsi:type="xsd:long"&gt;45065&lt;/D&gt;&lt;D xsi:type="xsd:long"&gt;45093&lt;/D&gt;&lt;D xsi:type="xsd:long"&gt;45126&lt;/D&gt;&lt;D xsi:type="xsd:long"&gt;45156&lt;/D&gt;&lt;D xsi:type="xsd:long"&gt;45188&lt;/D&gt;&lt;D xsi:type="xsd:long"&gt;45218&lt;/D&gt;&lt;D xsi:type="xsd:long"&gt;45247&lt;/D&gt;&lt;D xsi:type="xsd:long"&gt;45279&lt;/D&gt;&lt;D xsi:type="xsd:long"&gt;45310&lt;/D&gt;&lt;D xsi:type="xsd:long"&gt;45338&lt;/D&gt;&lt;D xsi:type="xsd:long"&gt;45370&lt;/D&gt;&lt;D xsi:type="xsd:long"&gt;45401&lt;/D&gt;&lt;D xsi:type="xsd:long"&gt;45429&lt;/D&gt;&lt;D xsi:type="xsd:long"&gt;45461&lt;/D&gt;&lt;D xsi:type="xsd:long"&gt;45491&lt;/D&gt;&lt;/FQL&gt;&lt;FQL&gt;&lt;Q&gt;EWT^FMA_ROE(NTMA,-20AY,NOW,FY,"PORTAGG","MEANR")&lt;/Q&gt;&lt;R&gt;20&lt;/R&gt;&lt;C&gt;1&lt;/C&gt;&lt;D xsi:type="xsd:double"&gt;14.2091388164968&lt;/D&gt;&lt;D xsi:type="xsd:double"&gt;14.0985457137066&lt;/D&gt;&lt;D xsi:type="xsd:double"&gt;14.4590710347444&lt;/D&gt;&lt;D xsi:type="xsd:double"&gt;16.4807805647515&lt;/D&gt;&lt;D xsi:type="xsd:double"&gt;6.19596421132224&lt;/D&gt;&lt;D xsi:type="xsd:double"&gt;11.6376050166428&lt;/D&gt;&lt;D xsi:type="xsd:double"&gt;14.2189185035578&lt;/D&gt;&lt;D xsi:type="xsd:double"&gt;11.6486429529888&lt;/D&gt;&lt;D xsi:type="xsd:double"&gt;11.5182166875632&lt;/D&gt;&lt;D xsi:type="xsd:double"&gt;11.7877597873521&lt;/D&gt;&lt;D xsi:type="xsd:double"&gt;13.127345554296&lt;/D&gt;&lt;D xsi:type="xsd:double"&gt;12.3828245738855&lt;/D&gt;&lt;D xsi:type="xsd:double"&gt;11.7924660472797&lt;/D&gt;&lt;D xsi:type="xsd:double"&gt;12.5855614416921&lt;/D&gt;&lt;D xsi:type="xsd:double"&gt;11.5125837952604&lt;/D&gt;&lt;D xsi:type="xsd:double"&gt;10.8992590506713&lt;/D&gt;&lt;D xsi:type="xsd:double"&gt;11.6240969222969&lt;/D&gt;&lt;D xsi:type="xsd:double"&gt;14.7288182676736&lt;/D&gt;&lt;D xsi:type="xsd:double"&gt;12.9426503256061&lt;/D&gt;&lt;D xsi:type="xsd:double"&gt;11.9186960978366&lt;/D&gt;&lt;/FQL&gt;&lt;FQL&gt;&lt;Q&gt;TRYMY10Y-FDS^FG_YIELD(-10AY,0,Y,,"YTM")&lt;/Q&gt;&lt;R&gt;10&lt;/R&gt;&lt;C&gt;1&lt;/C&gt;&lt;D xsi:type="xsd:double"&gt;4.131911&lt;/D&gt;&lt;D xsi:type="xsd:double"&gt;4.345605&lt;/D&gt;&lt;D xsi:type="xsd:double"&gt;4.195897&lt;/D&gt;&lt;D xsi:type="xsd:double"&gt;3.902544&lt;/D&gt;&lt;D xsi:type="xsd:double"&gt;4.235642&lt;/D&gt;&lt;D xsi:type="xsd:double"&gt;3.300551&lt;/D&gt;&lt;D xsi:type="xsd:double"&gt;2.804181&lt;/D&gt;&lt;D xsi:type="xsd:double"&gt;3.573893&lt;/D&gt;&lt;D xsi:type="xsd:double"&gt;4.131847&lt;/D&gt;&lt;D xsi:type="xsd:double"&gt;3.727505&lt;/D&gt;&lt;/FQL&gt;&lt;FQL&gt;&lt;Q&gt;TRYAU10Y-FDS^FG_YIELD(-10AY,0,Y,</t>
        </r>
      </text>
    </comment>
    <comment ref="A6" authorId="0" shapeId="0" xr:uid="{26B8F9DD-0976-4099-8D81-EAF83F971110}">
      <text>
        <r>
          <rPr>
            <b/>
            <sz val="9"/>
            <color indexed="81"/>
            <rFont val="Tahoma"/>
            <charset val="1"/>
          </rPr>
          <t>,"YTM")&lt;/Q&gt;&lt;R&gt;10&lt;/R&gt;&lt;C&gt;1&lt;/C&gt;&lt;D xsi:type="xsd:double"&gt;2.81&lt;/D&gt;&lt;D xsi:type="xsd:double"&gt;2.88&lt;/D&gt;&lt;D xsi:type="xsd:double"&gt;2.76&lt;/D&gt;&lt;D xsi:type="xsd:double"&gt;2.63&lt;/D&gt;&lt;D xsi:type="xsd:double"&gt;2.315&lt;/D&gt;&lt;D xsi:type="xsd:double"&gt;1.375&lt;/D&gt;&lt;D xsi:type="xsd:double"&gt;0.972&lt;/D&gt;&lt;D xsi:type="xsd:double"&gt;1.671&lt;/D&gt;&lt;D xsi:type="xsd:double"&gt;4.051&lt;/D&gt;&lt;D xsi:type="xsd:double"&gt;3.955&lt;/D&gt;&lt;/FQL&gt;&lt;FQL&gt;&lt;Q&gt;TRYBR10Y-FDS^FG_YIELD(-10AY,0,Y,,"YTM")&lt;/Q&gt;&lt;R&gt;10&lt;/R&gt;&lt;C&gt;1&lt;/C&gt;&lt;D xsi:type="xsd:double"&gt;12.319731&lt;/D&gt;&lt;D xsi:type="xsd:double"&gt;15.989595&lt;/D&gt;&lt;D xsi:type="xsd:double"&gt;11.062725&lt;/D&gt;&lt;D xsi:type="xsd:double"&gt;9.887577&lt;/D&gt;&lt;D xsi:type="xsd:double"&gt;8.936093&lt;/D&gt;&lt;D xsi:type="xsd:double"&gt;6.883678&lt;/D&gt;&lt;D xsi:type="xsd:double"&gt;6.961219&lt;/D&gt;&lt;D xsi:type="xsd:double"&gt;10.970291&lt;/D&gt;&lt;D xsi:type="xsd:double"&gt;12.900059&lt;/D&gt;&lt;D xsi:type="xsd:double"&gt;10.455909&lt;/D&gt;&lt;/FQL&gt;&lt;FQL&gt;&lt;Q&gt;CAGDPY@KR^EE_ACTUAL_ANNUAL(MED,0)&lt;/Q&gt;&lt;R&gt;1&lt;/R&gt;&lt;C&gt;1&lt;/C&gt;&lt;D xsi:type="xsd:double"&gt;1.90344221708053&lt;/D&gt;&lt;/FQL&gt;&lt;FQL&gt;&lt;Q&gt;USDSAR^FG_PRICE_CHANGE(0,-6AM)&lt;/Q&gt;&lt;R&gt;1&lt;/R&gt;&lt;C&gt;1&lt;/C&gt;&lt;D xsi:type="xsd:double"&gt;0.007998943&lt;/D&gt;&lt;/FQL&gt;&lt;FQL&gt;&lt;Q&gt;USDMXN^FG_PRICE_CHANGE(0,-6AM)&lt;/Q&gt;&lt;R&gt;1&lt;/R&gt;&lt;C&gt;1&lt;/C&gt;&lt;D xsi:type="xsd:double"&gt;4.613149&lt;/D&gt;&lt;/FQL&gt;&lt;FQL&gt;&lt;Q&gt;USDPLN^STD(FG_PRICE_CHANGE(0,-3AY,M))&lt;/Q&gt;&lt;R&gt;1&lt;/R&gt;&lt;C&gt;1&lt;/C&gt;&lt;D xsi:type="xsd:double"&gt;3.24817526568623&lt;/D&gt;&lt;/FQL&gt;&lt;FQL&gt;&lt;Q&gt;EPHE^P_PRICE_RETURNS_PR('52W',2,-10AY,0,AM)&lt;/Q&gt;&lt;R&gt;121&lt;/R&gt;&lt;C&gt;1&lt;/C&gt;&lt;D xsi:type="xsd:double"&gt;2.6435852&lt;/D&gt;&lt;D xsi:type="xsd:double"&gt;15.7370205&lt;/D&gt;&lt;D xsi:type="xsd:double"&gt;7.647276&lt;/D&gt;&lt;D xsi:type="xsd:double"&gt;5.9109926&lt;/D&gt;&lt;D xsi:type="xsd:double"&gt;16.379774&lt;/D&gt;&lt;D xsi:type="xsd:double"&gt;22.17493&lt;/D&gt;&lt;D xsi:type="xsd:double"&gt;31.425262&lt;/D&gt;&lt;D xsi:type="xsd:double"&gt;28.732765&lt;/D&gt;&lt;D xsi:type="xsd:double"&gt;22.133743&lt;/D&gt;&lt;D xsi:type="xsd:double"&gt;17.319763&lt;/D&gt;&lt;D xsi:type="xsd:double"&gt;11.151934&lt;/D&gt;&lt;D xsi:type="xsd:double"&gt;9.757471&lt;/D&gt;&lt;D xsi:type="xsd:double"&gt;6.797397&lt;/D&gt;&lt;D xsi:type="xsd:double"&gt;-4.7870755&lt;/D&gt;&lt;D xsi:type="xsd:double"&gt;-8.188504&lt;/D&gt;&lt;D xsi:type="xsd:double"&gt;-3.298086&lt;/D&gt;&lt;D xsi:type="xsd:double"&gt;-10.196501&lt;/D&gt;&lt;D xsi:type="xsd:double"&gt;-11.44771&lt;/D&gt;&lt;D xsi:type="xsd:double"&gt;-24.540293&lt;/D&gt;&lt;D xsi:type="xsd:double"&gt;-20.977861&lt;/D&gt;&lt;D xsi:type="xsd:double"&gt;-11.011809&lt;/D&gt;&lt;D xsi:type="xsd:double"&gt;-12.527323&lt;/D&gt;&lt;D xsi:type="xsd:double"&gt;-9.873891&lt;/D&gt;&lt;D xsi:type="xsd:double"&gt;-0.24580956&lt;/D&gt;&lt;D xsi:type="xsd:double"&gt;3.9022684&lt;/D&gt;&lt;D xsi:type="xsd:double"&gt;10.742176&lt;/D&gt;&lt;D xsi:type="xsd:double"&gt;5.651033&lt;/D&gt;&lt;D xsi:type="xsd:double"&gt;5.322337&lt;/D&gt;&lt;D xsi:type="xsd:double"&gt;-1.5453458&lt;/D&gt;&lt;D xsi:type="xsd:double"&gt;-5.320054&lt;/D&gt;&lt;D xsi:type="xsd:double"&gt;13.133919&lt;/D&gt;&lt;D xsi:type="xsd:double"&gt;1.9787788&lt;/D&gt;&lt;D xsi:type="xsd:double"&gt;-4.274994&lt;/D&gt;&lt;D xsi:type="xsd:double"&gt;-2.0710707&lt;/D&gt;&lt;D xsi:type="xsd:double"&gt;0.016963482&lt;/D&gt;&lt;D xsi:type="xsd:double"&gt;-3.929472&lt;/D&gt;&lt;D xsi:type="xsd:double"&gt;-8.931905&lt;/D&gt;&lt;D xsi:type="xsd:double"&gt;-10.525471&lt;/D&gt;&lt;D xsi:type="xsd:double"&gt;0.8510351&lt;/D&gt;&lt;D xsi:type="xsd:double"&gt;0.5518675&lt;/D&gt;&lt;D xsi:type="xsd:double"&gt;11.713612&lt;/D&gt;&lt;D xsi:type="xsd:double"&gt;21.026194&lt;/D&gt;&lt;D xsi:type="xsd:double"&gt;17.617214&lt;/D&gt;&lt;D xsi:type="xsd:double"&gt;10.028374&lt;/D&gt;&lt;D xsi:type="xsd:double"&gt;1.748538&lt;/D&gt;&lt;D xsi:type="xsd:double"&gt;-6.0922565&lt;/D&gt;&lt;D xsi:type="xsd:double"&gt;-7.820696&lt;/D&gt;&lt;D xsi:type="xsd:double"&gt;-16.067331&lt;/D&gt;&lt;D xsi:type="xsd:double"&gt;-14.641434&lt;/D&gt;&lt;D xsi:type="xsd:double"&gt;-9.556848&lt;/D&gt;&lt;D xsi:type="xsd:double"&gt;-17.448742&lt;/D&gt;&lt;D xsi:type="xsd:double"&gt;-20.17482&lt;/D&gt;&lt;D xsi:type="xsd:double"&gt;-16.997343&lt;/D&gt;&lt;D xsi:type="xsd:double"&gt;-16.325516&lt;/D&gt;&lt;D xsi:type="xsd:double"&gt;-10.201656&lt;/D&gt;&lt;D xsi:type="xsd:double"&gt;-7.7740135&lt;/D&gt;&lt;D xsi:type="xsd:double"&gt;-2.5710523&lt;/D&gt;&lt;D xsi:type="xsd:double"&gt;2.322173&lt;/D&gt;&lt;D xsi:type="xsd:double"&gt;-1.3896942&lt;/D&gt;&lt;D xsi:type="xsd:double"&gt;15.390706&lt;/D&gt;&lt;D xsi:type="xsd:double"&gt;18.523705&lt;/D&gt;&lt;D xsi:type="xsd:double"&gt;5.898595&lt;/D&gt;&lt;D xsi:type="xsd:double"&gt;12.33691&lt;/D&gt;&lt;D xsi:type="xsd:double"&gt;19.059086&lt;/D&gt;&lt;D xsi:type="xsd:double"&gt;14.034855&lt;/D&gt;&lt;D xsi:type="xsd:double"&gt;8.769178&lt;/D&gt;&lt;D xsi:type="xsd:double"&gt;-0.8015454&lt;/D&gt;&lt;D xsi:type="xsd:double"&gt;-4.705495&lt;/D&gt;&lt;D xsi:type="xsd:double"&gt;-41.61412&lt;/D&gt;&lt;D xsi:type="xsd:double"&gt;-28.447025&lt;/D&gt;&lt;D xsi:type="xsd:double"&gt;-25.413197&lt;/D&gt;&lt;D xsi:type="xsd:double"&gt;-21.733284&lt;/D&gt;&lt;D xsi:type="xsd:double"&gt;-25.32677&lt;/D&gt;&lt;D xsi:type="xsd:double"&gt;-18.170755&lt;/D&gt;&lt;D xsi:type="xsd:double"&gt;-20.88018&lt;/D&gt;&lt;D xsi:type="xsd:double"&gt;-21.682436&lt;/D&gt;&lt;D xsi:type="xsd:double"&gt;-8.0733595&lt;/D&gt;&lt;D xsi:type="xsd:double"&gt;-2.3444593&lt;/D&gt;&lt;D xsi:type="xsd:double"&gt;-3.5977125&lt;/D&gt;&lt;D xsi:type="xsd:double"&gt;-3.428167&lt;/D&gt;&lt;D xsi:type="xsd:double"&gt;51.17606&lt;/D&gt;&lt;D xsi:type="xsd:double"&gt;20.20465&lt;/D&gt;&lt;D xsi:type="xsd:double"&gt;21.208286&lt;/D&gt;&lt;D xsi:type="xsd:double"&gt;13.081348&lt;/D&gt;&lt;D xsi:type="xsd:double"&gt;6.173098&lt;/D&gt;&lt;D xsi:type="xsd:double"&gt;7.7769876&lt;/D&gt;&lt;D xsi:type="xsd:double"&gt;14.942169&lt;/D&gt;&lt;D xsi:type="xsd:double"&gt;22.45177&lt;/D&gt;&lt;D xsi:type="xsd:double"&gt;2.810955&lt;/D&gt;&lt;D xsi:type="xsd:double"&gt;-0.14543533&lt;/D&gt;&lt;D xsi:type="xsd:double"&gt;-2.0772815&lt;/D&gt;&lt;D xsi:type="xsd:double"&gt;7.431674&lt;/D&gt;&lt;D xsi:type="xsd:double"&gt;3.2805443&lt;/D&gt;&lt;D xsi:type="xsd:double"&gt;3.1819582&lt;/D&gt;&lt;D xsi:type="xsd:double"&gt;0.9803057&lt;/D&gt;&lt;D xsi:type="xsd:double"&gt;-14.616156&lt;/D&gt;&lt;D xsi:type="xsd:double"&gt;-9.806991&lt;/D&gt;&lt;D xsi:type="xsd:double"&gt;-3.5363436&lt;/D&gt;&lt;D xsi:type="xsd:double"&gt;-15.658599&lt;/D&gt;&lt;D xsi:type="xsd:double"&gt;-27.326738&lt;/D&gt;&lt;D xsi:type="xsd:double"&gt;-20.895714&lt;/D&gt;&lt;D xsi:type="xsd:double"&gt;-20.260567&lt;/D&gt;&lt;D xsi:type="xsd:double"&gt;-5.8511734&lt;/D&gt;&lt;D xsi:type="xsd:double"&gt;-13.951672&lt;/D&gt;&lt;D xsi:type="xsd:double"&gt;-13.218993&lt;/D&gt;&lt;D xsi:type="xsd:double"&gt;-13.018078&lt;/D&gt;&lt;D xsi:type="xsd:double"&gt;-5.780822&lt;/D&gt;&lt;D xsi:type="xsd:double"&gt;-1.0934174&lt;/D&gt;&lt;D xsi:type="xsd:double"&gt;8.111525&lt;/D&gt;&lt;D xsi:type="xsd:double"&gt;-8.491987&lt;/D&gt;&lt;D xsi:type="xsd:double"&gt;-4.1501403&lt;/D&gt;&lt;D xsi:type="xsd:double"&gt;6.202626&lt;/D&gt;&lt;D xsi:type="xsd:double"&gt;0.79057217&lt;/D&gt;&lt;D xsi:type="xsd:double"&gt;2.991581&lt;/D&gt;&lt;D xsi:type="xsd:double"&gt;-7.5094104&lt;/D&gt;&lt;D xsi:type="xsd:double"&gt;0.9768367&lt;/D&gt;&lt;D xsi:type="xsd:double"&gt;7.3079824&lt;/D&gt;&lt;D xsi:type="xsd:double"&gt;-1.6949713&lt;/D&gt;&lt;D xsi:type="xsd:double"&gt;0.071144104&lt;/D&gt;&lt;D xsi:type="xsd:double"&gt;-4.3907046&lt;/D&gt;&lt;D xsi:type="xsd:double"&gt;-2.388996&lt;/D&gt;&lt;/FQL&gt;&lt;FQL&gt;&lt;Q&gt;EPHE^FG_TOTAL_RETURNC(-10AY,0,AM)&lt;/Q&gt;&lt;R&gt;121&lt;/R&gt;&lt;C&gt;1&lt;/C&gt;&lt;D xsi:type="xsd:double"&gt;3.439808&lt;/D&gt;&lt;D xsi:type="xsd:double"&gt;3.647089&lt;/D&gt;&lt;D xsi:type="xsd:double"&gt;-0.77620745&lt;/D&gt;&lt;D xsi:type="xsd:double"&gt;-2.3468018&lt;/D&gt;&lt;D xsi:type="xsd:double"&gt;2.8838396&lt;/D&gt;&lt;D xsi:type="xsd:double"&gt;-1.3670743&lt;/D&gt;&lt;D xsi:type="xsd:double"&gt;6.0949802&lt;/D&gt;&lt;D xsi:type="xsd:double"&gt;4.227805&lt;/D&gt;&lt;D xsi:type="xsd:double"&gt;-2.5292337&lt;/D&gt;&lt;D xsi:type="xsd:double"&gt;2.5703907&lt;/D&gt;&lt;D xsi:type="xsd:double"&gt;-1.5274525&lt;/D&gt;&lt;D xsi:type="xsd:double"&gt;-4.3625774&lt;/D&gt;&lt;D xsi:type="xsd:double"&gt;-0.69943666&lt;/D&gt;&lt;D xsi:type="xsd:double"&gt;-6.3398304&lt;/D&gt;&lt;D xsi:type="xsd:double"&gt;-3.6722422&lt;/D&gt;&lt;D xsi:type="xsd:double"&gt;2.1621585&lt;/D&gt;&lt;D xsi:type="xsd:double"&gt;-4.4555783&lt;/D&gt;&lt;D xsi:type="xsd:double"&gt;-3.0749083&lt;/D&gt;&lt;D xsi:type="xsd:double"&gt;-9.280139&lt;/D&gt;&lt;D xsi:type="xsd:double"&gt;9.148371&lt;/D&gt;&lt;D xsi:type="xsd:double"&gt;11.429441&lt;/D&gt;&lt;D xsi:type="xsd:double"&gt;-0.6838083&lt;/D&gt;&lt;D xsi:type="xsd:double"&gt;1.4596462&lt;/D&gt;&lt;D xsi:type="xsd:double"&gt;5.103147&lt;/D&gt;&lt;D xsi:type="xsd:double"&gt;4.1689396&lt;/D&gt;&lt;D xsi:type="xsd:double"&gt;-0.17417073&lt;/D&gt;&lt;D xsi:type="xsd:double"&gt;-8.1007&lt;/D&gt;&lt;D xsi:type="xsd:double"&gt;1.8443227&lt;/D&gt;&lt;D xsi:type="xsd:double"&gt;-10.972034&lt;/D&gt;&lt;D xsi:type="xsd:double"&gt;-6.4911785&lt;/D&gt;&lt;D xsi:type="xsd:double"&gt;8.401978&lt;/D&gt;&lt;D xsi:type="xsd:double"&gt;-0.4143238&lt;/D&gt;&lt;D xsi:type="xsd:double"&gt;2.9123306&lt;/D&gt;&lt;D xsi:type="xsd:double"&gt;2.0213723&lt;/D&gt;&lt;D xsi:type="xsd:double"&gt;3.622985&lt;/D&gt;&lt;D xsi:type="xsd:double"&gt;0.95602274&lt;/D&gt;&lt;D xsi:type="xsd:double"&gt;-1.2551785&lt;/D&gt;&lt;D xsi:type="xsd:double"&gt;-2.116549&lt;/D&gt;&lt;D xsi:type="xsd:double"&gt;3.79107&lt;/D&gt;&lt;D xsi:type="xsd:double"&gt;1.5422106&lt;/D&gt;&lt;D xsi:type="xsd:double"&gt;-1.119101&lt;/D&gt;&lt;D xsi:type="xsd:double"&gt;1.3341546&lt;/D&gt;&lt;D xsi:type="xsd:double"&gt;5.348587&lt;/D&gt;&lt;D xsi:type="xsd:double"&gt;-6.0368776&lt;/D&gt;&lt;D xsi:type="xsd:double"&gt;-5.645168&lt;/D&gt;&lt;D xsi:type="xsd:double"&gt;-5.8404565&lt;/D&gt;&lt;D xsi:type="xsd:double"&gt;-0.4235983&lt;/D&gt;&lt;D xsi:type="xsd:double"&gt;-6.100881&lt;/D&gt;&lt;D xsi:type="xsd:double"&gt;0.4223466&lt;/D&gt;&lt;D xsi:type="xsd:double"&gt;3.3646107&lt;/D&gt;&lt;D xsi:type="xsd:double"&gt;-4.945225&lt;/D&gt;&lt;D xsi:type="xsd:double"&gt;-1.8110037&lt;/D&gt;&lt;D xsi:type="xsd:double"&gt;2.8169036&lt;/D&gt;&lt;D xsi:type="xsd:double"&gt;2.1543622&lt;/D&gt;&lt;D xsi:type="xsd:double"&gt;11.373806&lt;/D&gt;&lt;D xsi:type="xsd:double"&gt;-2.0367146&lt;/D&gt;&lt;D xsi:type="xsd:double"&gt;-0.32210946&lt;/D&gt;&lt;D xsi:type="xsd:double"&gt;1.85076&lt;/D&gt;&lt;D xsi:type="xsd:double"&gt;-6.3455343&lt;/D&gt;&lt;D xsi:type="xsd:double"&gt;9.313154&lt;/D&gt;&lt;D xsi:type="xsd:double"&gt;3.1489372&lt;/D&gt;&lt;D xsi:type="xsd:double"&gt;-7.645762&lt;/D&gt;&lt;D xsi:type="xsd:double"&gt;0.8338213&lt;/D&gt;&lt;D xsi:type="xsd:double"&gt;2.215004&lt;/D&gt;&lt;D xsi:type="xsd:double"&gt;0.26004314&lt;/D&gt;&lt;D xsi:type="xsd:double"&gt;-2.5627375&lt;/D&gt;&lt;D xsi:type="xsd:double"&gt;0.029611588&lt;/D&gt;&lt;D xsi:type="xsd:double"&gt;-4.4391813&lt;/D&gt;&lt;D xsi:type="xsd:double"&gt;-38.928467&lt;/D&gt;&lt;D xsi:type="xsd:double"&gt;25&lt;/D&gt;&lt;D xsi:type="xsd:double"&gt;-2.5152087&lt;/D&gt;&lt;D xsi:type="xsd:double"&gt;14.706373&lt;/D&gt;&lt;D xsi:type="xsd:double"&gt;-1.5328467&lt;/D&gt;&lt;D xsi:type="xsd:double"&gt;1.1489987&lt;/D&gt;&lt;D xsi:type="xsd:double"&gt;-2.4184763&lt;/D&gt;&lt;D xsi:type="xsd:double"&gt;1.0890007&lt;/D&gt;&lt;D xsi:type="xsd:double"&gt;17.682016&lt;/D&gt;&lt;D xsi:type="xsd:double"&gt;4.5207977&lt;/D&gt;&lt;D xsi:type="xsd:double"&gt;-2.2094429&lt;/D&gt;&lt;D xsi:type="xsd:double"&gt;-4.271126&lt;/D&gt;&lt;D xsi:type="xsd:double"&gt;-4.397029&lt;/D&gt;&lt;D xsi:type="xsd:double"&gt;-0.60872436&lt;/D&gt;&lt;D xsi:type="xsd:double"&gt;-1.7012596&lt;/D&gt;&lt;D xsi:type="xsd:double"&gt;7.4059486&lt;/D&gt;&lt;D xsi:type="xsd:double"&gt;-7.8844905&lt;/D&gt;&lt;D xsi:type="xsd:double"&gt;2.6769996&lt;/D&gt;&lt;D xsi:type="xsd:double"&gt;4.459691&lt;/D&gt;&lt;D xsi:type="xsd:double"&gt;7.2906375&lt;/D&gt;&lt;D xsi:type="xsd:double"&gt;-1.1937559&lt;/D&gt;&lt;D xsi:type="xsd:double"&gt;1.2694359&lt;/D&gt;&lt;D xsi:type="xsd:double"&gt;-3.8685918&lt;/D&gt;&lt;D xsi:type="xsd:double"&gt;4.3117285&lt;/D&gt;&lt;D xsi:type="xsd:double"&gt;-7.8383327&lt;/D&gt;&lt;D xsi:type="xsd:double"&gt;-0.2990067&lt;/D&gt;&lt;D xsi:type="xsd:double"&gt;-3.7987292&lt;/D&gt;&lt;D xsi:type="xsd:double"&gt;-8.004272&lt;/D&gt;&lt;D xsi:type="xsd:double"&gt;-3.9428592&lt;/D&gt;&lt;D xsi:type="xsd:double"&gt;9.815586&lt;/D&gt;&lt;D xsi:type="xsd:double"&gt;-8.667385&lt;/D&gt;&lt;D xsi:type="xsd:double"&gt;-7.5523973&lt;/D&gt;&lt;D xsi:type="xsd:double"&gt;8.682632&lt;/D&gt;&lt;D xsi:type="xsd:double"&gt;1.0185361&lt;/D&gt;&lt;D xsi:type="xsd:double"&gt;13.502943&lt;/D&gt;&lt;D xsi:type="xsd:double"&gt;-4.5172396&lt;/D&gt;&lt;D xsi:type="xsd:double"&gt;-5.5615783&lt;/D&gt;&lt;D xsi:type="xsd:double"&gt;-1.7973185&lt;/D&gt;&lt;D xsi:type="xsd:double"&gt;4.2056084&lt;/D&gt;&lt;D xsi:type="xsd:double"&gt;-2.875644&lt;/D&gt;&lt;D xsi:type="xsd:double"&gt;4.400313&lt;/D&gt;&lt;D xsi:type="xsd:double"&gt;-7.3853016&lt;/D&gt;&lt;D xsi:type="xsd:double"&gt;-3.9871097&lt;/D&gt;&lt;D xsi:type="xsd:double"&gt;2.4328828&lt;/D&gt;&lt;D xsi:type="xsd:double"&gt;2.1293998&lt;/D&gt;&lt;D xsi:type="xsd:double"&gt;4.2501926&lt;/D&gt;&lt;D xsi:type="xsd:double"&gt;1.930213&lt;/D&gt;&lt;D xsi:type="xsd:double"&gt;4.770601&lt;/D&gt;&lt;D xsi:type="xsd:double"&gt;-0.1452446&lt;/D&gt;&lt;D xsi:type="xsd:double"&gt;-10.036367&lt;/D&gt;&lt;D xsi:type="xsd:double"&gt;4.7695994&lt;/D&gt;&lt;D xsi:type="xsd:double"&gt;-6.047493&lt;/D&gt;&lt;D xsi:type="xsd:double"&gt;6.586075&lt;/D&gt;&lt;/FQL&gt;&lt;FQL&gt;&lt;Q&gt;EPOL^FMA_DIV_YLD(NTMA,-10AY,0,AM,"PORTAGG","MEANR")&lt;/Q&gt;&lt;R&gt;121&lt;/R&gt;&lt;C&gt;1&lt;/C&gt;&lt;D xsi:type="xsd:double"&gt;4.1085637119195&lt;/D&gt;&lt;D xsi:type="xsd:double"&gt;4.08794964260632&lt;/D&gt;&lt;D xsi:type="xsd:double"&gt;4.0680230883807&lt;/D&gt;&lt;D xsi:type="xsd:double"&gt;4.13009775379636&lt;/D&gt;&lt;D xsi:type="xsd:double"&gt;3.97140542179511&lt;/D&gt;&lt;D xsi:type="xsd:double"&gt;4.04275089022383&lt;/D&gt;&lt;D xsi:type="xsd:double"&gt;4.1490033430902&lt;/D&gt;&lt;D xsi:type="xsd:double"&gt;3.78527282829125&lt;/D&gt;&lt;D xsi:type="xsd:double"&gt;3.67777321832941&lt;/D&gt;&lt;D xsi:type="xsd:double"&gt;3.36512480965345&lt;/D&gt;&lt;D xsi:type="xsd:double"&gt;3.32584504609777&lt;/D&gt;&lt;D xsi:type="xsd:double"&gt;3.66103745753174&lt;/D&gt;&lt;D xsi:type="xsd:double"&gt;3.57303210067652&lt;/D&gt;&lt;D xsi:type="xsd:double"&gt;3.65443075513349&lt;/D&gt;&lt;D xsi:type="xsd:double"&gt;3.59036772114754&lt;/D&gt;&lt;D xsi:type="xsd:double"&gt;3.61875717940663&lt;/D&gt;&lt;D xsi:type="xsd:double"&gt;3.96252595866625&lt;/D&gt;&lt;D xsi:type="xsd:double"&gt;4.0901652198817&lt;/D&gt;&lt;D xsi:type="xsd:double"&gt;4.39951091308666&lt;/D&gt;&lt;D xsi:type="xsd:double"&gt;4.03090853469608&lt;/D&gt;&lt;D xsi:type="xsd:double"&gt;3.69262642948316&lt;/D&gt;&lt;D xsi:type="xsd:double"&gt;3.58215374941484&lt;/D&gt;&lt;D xsi:type="xsd:double"&gt;3.90480577073427&lt;/D&gt;&lt;D xsi:type="xsd:double"&gt;3.93404441754884&lt;/D&gt;&lt;D xsi:type="xsd:double"&gt;3.66466888593825&lt;/D&gt;&lt;D xsi:type="xsd:double"&gt;3.54546699309786&lt;/D&gt;&lt;D xsi:type="xsd:double"&gt;3.60634923489956&lt;/D&gt;&lt;D xsi:type="xsd:double"&gt;3.40828098962442&lt;/D&gt;&lt;D xsi:type="xsd:double"&gt;3.40957523336054&lt;/D&gt;&lt;D xsi:type="xsd:double"&gt;3.08863158647497&lt;/D&gt;&lt;D xsi:type="xsd:double"&gt;2.86815145312531&lt;/D&gt;&lt;D xsi:type="xsd:double"&gt;2.6191874617357&lt;/D&gt;&lt;D xsi:type="xsd:double"&gt;2.36015206446711&lt;/D&gt;&lt;D xsi:type="xsd:double"&gt;2.43520917451201&lt;/D&gt;&lt;D xsi:type="xsd:double"&gt;2.49860158805786&lt;/D&gt;&lt;D xsi:type="xsd:double"&gt;2.49391922417028&lt;/D&gt;&lt;D xsi:type="xsd:double"&gt;2.3995322722504&lt;/D&gt;&lt;D xsi:type="xsd:double"&gt;2.45632657138595&lt;/D&gt;&lt;D xsi:type="xsd:double"&gt;2.58370706809438&lt;/D&gt;&lt;D xsi:type="xsd:double"&gt;2.43086401226215&lt;/D&gt;&lt;D xsi:type="xsd:double"&gt;2.47838861438625&lt;/D&gt;&lt;D xsi:type="xsd:double"&gt;2.80963634653697&lt;/D&gt;&lt;D xsi:type="xsd:double"&gt;2.7350767129168&lt;/D&gt;&lt;D xsi:type="xsd:double"&gt;2.99140171729266&lt;/D&gt;&lt;D xsi:type="xsd:double"&gt;3.12760679502391&lt;/D&gt;&lt;D xsi:type="xsd:double"&gt;2.95371390030217&lt;/D&gt;&lt;D xsi:type="xsd:double"&gt;3.08783176405264&lt;/D&gt;&lt;D xsi:type="xsd:double"&gt;3.2430457535806&lt;/D&gt;&lt;D xsi:type="xsd:double"&gt;3.0148792432467&lt;/D&gt;&lt;D xsi:type="xsd:double"&gt;2.9197478581846&lt;/D&gt;&lt;D xsi:type="xsd:double"&gt;2.9908318775063&lt;/D&gt;&lt;D xsi:type="xsd:double"&gt;3.15613450214597&lt;/D&gt;&lt;D xsi:type="xsd:double"&gt;3.19354304446307&lt;/D&gt;&lt;D xsi:type="xsd:double"&gt;3.06067488498032&lt;/D&gt;&lt;D xsi:type="xsd:double"&gt;2.99990474317006&lt;/D&gt;&lt;D xsi:type="xsd:double"&gt;3.05198292393172&lt;/D&gt;&lt;D xsi:type="xsd:double"&gt;3.04113778534822&lt;/D&gt;&lt;D xsi:type="xsd:double"&gt;3.0432453441107&lt;/D&gt;&lt;D xsi:type="xsd:double"&gt;3.34604070173352&lt;/D&gt;&lt;D xsi:type="xsd:double"&gt;3.22845077457324&lt;/D&gt;&lt;D xsi:type="xsd:double"&gt;3.29134742208559&lt;/D&gt;&lt;D xsi:type="xsd:double"&gt;3.79924126860793&lt;/D&gt;&lt;D xsi:type="xsd:double"&gt;3.55628513119053&lt;/D&gt;&lt;D xsi:type="xsd:double"&gt;3.50554998720027&lt;/D&gt;&lt;D xsi:type="xsd:double"&gt;3.36112725302759&lt;/D&gt;&lt;D xsi:type="xsd:double"&gt;3.55212685865634&lt;/D&gt;&lt;D xsi:type="xsd:double"&gt;3.55178777757133&lt;/D&gt;&lt;D xsi:type="xsd:double"&gt;3.68066268201441&lt;/D&gt;&lt;D xsi:type="xsd:double"&gt;4.81254498105331&lt;/D&gt;&lt;D xsi:type="xsd:double"&gt;3.67262498387081&lt;/D&gt;&lt;D xsi:type="xsd:double"&gt;3.17620711211522&lt;/D&gt;&lt;D xsi:type="xsd:double"&gt;2.4417261353035&lt;/D&gt;&lt;D xsi:type="xsd:double"&gt;2.3319323974236&lt;/D&gt;&lt;D xsi:type="xsd:double"&gt;2.74097557257455&lt;/D&gt;&lt;D xsi:type="xsd:double"&gt;2.91986490850312&lt;/D&gt;&lt;D xsi:type="xsd:double"&gt;3.30786323402758&lt;/D&gt;&lt;D xsi:type="xsd:double"&gt;2.56631800889466&lt;/D&gt;&lt;D xsi:type="xsd:double"&gt;2.77136233639657&lt;/D&gt;&lt;D xsi:type="xsd:double"&gt;2.90234031103064&lt;/D&gt;&lt;D xsi:type="xsd:double"&gt;2.81939584751705&lt;/D&gt;&lt;D xsi:type="xsd:double"&gt;3.04402331740553&lt;/D&gt;&lt;D xsi:type="xsd:double"&gt;2.92829060622663&lt;/D&gt;&lt;D xsi:type="xsd:double"&gt;2.86674257060256&lt;/D&gt;&lt;D xsi:type="xsd:double"&gt;3.00395305743639&lt;/D&gt;&lt;D xsi:type="xsd:double"&gt;3.16894518781321&lt;/D&gt;&lt;D xsi:type="xsd:double"&gt;3.00375780495215&lt;/D&gt;&lt;D xsi:type="xsd:double"&gt;2.97408301706813&lt;/D&gt;&lt;D xsi:type="xsd:double"&gt;2.98921402952442&lt;/D&gt;&lt;D xsi:type="xsd:double"&gt;3.19571915515567&lt;/D&gt;&lt;D xsi:type="xsd:double"&gt;3.42723163764423&lt;/D&gt;&lt;D xsi:type="xsd:double"&gt;3.10898900921925&lt;/D&gt;&lt;D xsi:type="xsd:double"&gt;3.41226757458336&lt;/D&gt;&lt;D xsi:type="xsd:double"&gt;3.53504329149969&lt;/D&gt;&lt;D xsi:type="xsd:double"&gt;3.4769262192792&lt;/D&gt;&lt;D xsi:type="xsd:double"&gt;3.98888237729632&lt;/D&gt;&lt;D xsi:type="xsd:double"&gt;4.40886369453898&lt;/D&gt;&lt;D xsi:type="xsd:double"&gt;4.28891928260792&lt;/D&gt;&lt;D xsi:type="xsd:double"&gt;4.29134325787191&lt;/D&gt;&lt;D xsi:type="xsd:double"&gt;4.60561787993996&lt;/D&gt;&lt;D xsi:type="xsd:double"&gt;5.15259466307898&lt;/D&gt;&lt;D xsi:type="xsd:double"&gt;4.28631677827026&lt;/D&gt;&lt;D xsi:type="xsd:double"&gt;4.29950379587129&lt;/D&gt;&lt;D xsi:type="xsd:double"&gt;3.98473689143206&lt;/D&gt;&lt;D xsi:type="xsd:double"&gt;4.22233054307943&lt;/D&gt;&lt;D xsi:type="xsd:double"&gt;4.80891836983066&lt;/D&gt;&lt;D xsi:type="xsd:double"&gt;4.44104594595716&lt;/D&gt;&lt;D xsi:type="xsd:double"&gt;4.26283576903931&lt;/D&gt;&lt;D xsi:type="xsd:double"&gt;3.89443905247198&lt;/D&gt;&lt;D xsi:type="xsd:double"&gt;3.80248565044706&lt;/D&gt;&lt;D xsi:type="xsd:double"&gt;4.02243292791281&lt;/D&gt;&lt;D xsi:type="xsd:double"&gt;4.37788430328963&lt;/D&gt;&lt;D xsi:type="xsd:double"&gt;4.20184324851095&lt;/D&gt;&lt;D xsi:type="xsd:double"&gt;4.33962197634142&lt;/D&gt;&lt;D xsi:type="xsd:double"&gt;4.66335247982871&lt;/D&gt;&lt;D xsi:type="xsd:double"&gt;5.16726605952117&lt;/D&gt;&lt;D xsi:type="xsd:double"&gt;4.7704452506998&lt;/D&gt;&lt;D xsi:type="xsd:double"&gt;4.97740801618858&lt;/D&gt;&lt;D xsi:type="xsd:double"&gt;5.0467521046777&lt;/D&gt;&lt;D xsi:type="xsd:double"&gt;4.99279619031386&lt;/D&gt;&lt;D xsi:type="xsd:double"&gt;5.22842388201987&lt;/D&gt;&lt;D xsi:type="xsd:double"&gt;5.1528611221742&lt;/D&gt;&lt;/FQL&gt;&lt;FQL&gt;&lt;Q&gt;EPU^FMA_PE(LTMA,-10AY,0,AM,"PORTAGG","MEANR")&lt;/Q&gt;&lt;R&gt;121&lt;/R&gt;&lt;C&gt;1&lt;/C&gt;&lt;D xsi:type="xsd:double"&gt;15.8289665684879&lt;/D&gt;&lt;D xsi:type="xsd:double"&gt;15.6583464440042&lt;/D&gt;&lt;D xsi:type="xsd:double"&gt;15.5878887508373&lt;/D&gt;&lt;D xsi:type="xsd:double"&gt;14.2496344830412&lt;/D&gt;&lt;D xsi:type="xsd:double"&gt;14.0068773952322&lt;/D&gt;&lt;D xsi:type="xsd:double"&gt;14.0604307432202&lt;/D&gt;&lt;D xsi:type="xsd:double"&gt;14.969922229735&lt;/D&gt;&lt;D xsi:type="xsd:double"&gt;16.4554103061676&lt;/D&gt;&lt;D xsi:type="xsd:double"&gt;16.1056718385595&lt;/D&gt;&lt;D xsi:type="xsd:double"&gt;15.6339653039638&lt;/D&gt;&lt;D xsi:type="xsd:double"&gt;15.5242360107128&lt;/D&gt;&lt;D xsi:type="xsd:double"&gt;16.2813490407163&lt;/D&gt;&lt;D xsi:type="xsd:double"&gt;15.7159337579577&lt;/D&gt;&lt;D xsi:type="xsd:double"&gt;14.9584229420356&lt;/D&gt;&lt;D xsi:type="xsd:double"&gt;14.5564926543739&lt;/D&gt;&lt;D xsi:type="xsd:double"&gt;11.6987591480336&lt;/D&gt;&lt;D xsi:type="xsd:double"&gt;11.3207739497894&lt;/D&gt;&lt;D xsi:type="xsd:double"&gt;10.3708259186498&lt;/D&gt;&lt;D xsi:type="xsd:double"&gt;13.2209342539808&lt;/D&gt;&lt;D xsi:type="xsd:double"&gt;17.8047011440739&lt;/D&gt;&lt;D xsi:type="xsd:double"&gt;22.5098253591353&lt;/D&gt;&lt;D xsi:type="xsd:double"&gt;22.0077854756056&lt;/D&gt;&lt;D xsi:type="xsd:double"&gt;21.0172605938563&lt;/D&gt;&lt;D xsi:type="xsd:double"&gt;20.1619458359601&lt;/D&gt;&lt;D xsi:type="xsd:double"&gt;19.8904059009179&lt;/D&gt;&lt;D xsi:type="xsd:double"&gt;18.9426184601071&lt;/D&gt;&lt;D xsi:type="xsd:double"&gt;17.6795522695259&lt;/D&gt;&lt;D xsi:type="xsd:double"&gt;16.6449711371036&lt;/D&gt;&lt;D xsi:type="xsd:double"&gt;15.6747226212148&lt;/D&gt;&lt;D xsi:type="xsd:double"&gt;14.9158809190457&lt;/D&gt;&lt;D xsi:type="xsd:double"&gt;15.279974401797&lt;/D&gt;&lt;D xsi:type="xsd:double"&gt;16.937891261651&lt;/D&gt;&lt;D xsi:type="xsd:double"&gt;16.1776916477441&lt;/D&gt;&lt;D xsi:type="xsd:double"&gt;15.4555348409981&lt;/D&gt;&lt;D xsi:type="xsd:double"&gt;15.2266855240617&lt;/D&gt;&lt;D xsi:type="xsd:double"&gt;14.780510822176&lt;/D&gt;&lt;D xsi:type="xsd:double"&gt;14.9190573693755&lt;/D&gt;&lt;D xsi:type="xsd:double"&gt;15.2650820808148&lt;/D&gt;&lt;D xsi:type="xsd:double"&gt;16.6052645147645&lt;/D&gt;&lt;D xsi:type="xsd:double"&gt;16.495310851076&lt;/D&gt;&lt;D xsi:type="xsd:double"&gt;16.6527639479502&lt;/D&gt;&lt;D xsi:type="xsd:double"&gt;16.4200066452177&lt;/D&gt;&lt;D xsi:type="xsd:double"&gt;17.5189675442393&lt;/D&gt;&lt;D xsi:type="xsd:double"&gt;18.6939935479772&lt;/D&gt;&lt;D xsi:type="xsd:double"&gt;19.45657603164&lt;/D&gt;&lt;D xsi:type="xsd:double"&gt;19.113982005915&lt;/D&gt;&lt;D xsi:type="xsd:double"&gt;18.4210607942983&lt;/D&gt;&lt;D xsi:type="xsd:double"&gt;18.0525300740067&lt;/D&gt;&lt;D xsi:type="xsd:double"&gt;17.3238797975977&lt;/D&gt;&lt;D xsi:type="xsd:double"&gt;17.3075158026106&lt;/D&gt;&lt;D xsi:type="xsd:double"&gt;16.3322275787972&lt;/D&gt;&lt;D xsi:type="xsd:double"&gt;16.0817674680611&lt;/D&gt;&lt;D xsi:type="xsd:double"&gt;16.9561235322995&lt;/D&gt;&lt;D xsi:type="xsd:double"&gt;16.93885823984&lt;/D&gt;&lt;D xsi:type="xsd:double"&gt;17.8282426335111&lt;/D&gt;&lt;D xsi:type="xsd:double"&gt;19.4974517001666&lt;/D&gt;&lt;D xsi:type="xsd:double"&gt;20.0251761642008&lt;/D&gt;&lt;D xsi:type="xsd:double"&gt;19.4007241632317&lt;/D&gt;&lt;D xsi:type="xsd:double"&gt;18.2794445714115&lt;/D&gt;&lt;D xsi:type="xsd:double"&gt;17.7747507576003&lt;/D&gt;&lt;D xsi:type="xsd:double"&gt;18.3632048722809&lt;/D&gt;&lt;D xsi:type="xsd:double"&gt;17.8197702130013&lt;/D&gt;&lt;D xsi:type="xsd:double"&gt;17.2666583790382&lt;/D&gt;&lt;D xsi:type="xsd:double"&gt;17.0617567882393&lt;/D&gt;&lt;D xsi:type="xsd:double"&gt;17.0075767908087&lt;/D&gt;&lt;D xsi:type="xsd:double"&gt;17.4714012764347&lt;/D&gt;&lt;D xsi:type="xsd:double"&gt;16.9697327177505&lt;/D&gt;&lt;D xsi:type="xsd:double"&gt;17.2868079055186&lt;/D&gt;&lt;D xsi:type="xsd:double"&gt;15.7583052886333&lt;/D&gt;&lt;D xsi:type="xsd:double"&gt;15.9093974125302&lt;/D&gt;&lt;D xsi:type="xsd:double"&gt;17.6434728898504&lt;/D&gt;&lt;D xsi:type="xsd:double"&gt;20.9154095627353&lt;/D&gt;&lt;D xsi:type="xsd:double"&gt;22.4563077930249&lt;/D&gt;&lt;D xsi:type="xsd:double"&gt;29.3409299917961&lt;/D&gt;&lt;D xsi:type="xsd:double"&gt;36.1484946451267&lt;/D&gt;&lt;D xsi:type="xsd:double"&gt;37.466865158214&lt;/D&gt;&lt;D xsi:type="xsd:double"&gt;43.211964996096&lt;/D&gt;&lt;D xsi:type="xsd:double"&gt;52.7747094755527&lt;/D&gt;&lt;D xsi:type="xsd:double"&gt;48.4072258459308&lt;/D&gt;&lt;D xsi:type="xsd:double"&gt;60.7854607674778&lt;/D&gt;&lt;D xsi:type="xsd:double"&gt;64.4142062158701&lt;/D&gt;&lt;D xsi:type="xsd:double"&gt;58.3023013865795&lt;/D&gt;&lt;D xsi:type="xsd:double"&gt;52.8472400317079&lt;/D&gt;&lt;D xsi:type="xsd:double"&gt;46.1090462181309&lt;/D&gt;&lt;D xsi:type="xsd:double"&gt;40.0548069486311&lt;/D&gt;&lt;D xsi:type="xsd:double"&gt;34.4577354397993&lt;/D&gt;&lt;D xsi:type="xsd:double"&gt;29.3783075285228&lt;/D&gt;&lt;D xsi:type="xsd:double"&gt;24.5756686406919&lt;/D&gt;&lt;D xsi:type="xsd:double"&gt;18.4834934305733&lt;/D&gt;&lt;D xsi:type="xsd:double"&gt;13.5024582553081&lt;/D&gt;&lt;D xsi:type="xsd:double"&gt;12.6868164001837&lt;/D&gt;&lt;D xsi:type="xsd:double"&gt;12.4288645124653&lt;/D&gt;&lt;D xsi:type="xsd:double"&gt;13.507443702062&lt;/D&gt;&lt;D xsi:type="xsd:double"&gt;12.772134524438&lt;/D&gt;&lt;D xsi:type="xsd:double"&gt;11.7631859309266&lt;/D&gt;&lt;D xsi:type="xsd:double"&gt;11.1419720517433&lt;/D&gt;&lt;D xsi:type="xsd:double"&gt;10.2371573450029&lt;/D&gt;&lt;D xsi:type="xsd:double"&gt;9.98405003868437&lt;/D&gt;&lt;D xsi:type="xsd:double"&gt;9.38741021378515&lt;/D&gt;&lt;D xsi:type="xsd:double"&gt;9.13967949679132&lt;/D&gt;&lt;D xsi:type="xsd:double"&gt;9.99021395560296&lt;/D&gt;&lt;D xsi:type="xsd:double"&gt;9.14318942211482&lt;/D&gt;&lt;D xsi:type="xsd:double"&gt;10.482752042666&lt;/D&gt;&lt;D xsi:type="xsd:double"&gt;9.7030728824847&lt;/D&gt;&lt;D xsi:type="xsd:double"&gt;9.38401560829206&lt;/D&gt;&lt;D xsi:type="xsd:double"&gt;9.63853985410763&lt;/D&gt;&lt;D xsi:type="xsd:double"&gt;9.60847942111695&lt;/D&gt;&lt;D xsi:type="xsd:double"&gt;10.0848447379961&lt;/D&gt;&lt;D xsi:type="xsd:double"&gt;10.6075798655014&lt;/D&gt;&lt;D xsi:type="xsd:double"&gt;10.8072034606704&lt;/D&gt;&lt;D xsi:type="xsd:double"&gt;11.0025935625685&lt;/D&gt;&lt;D xsi:type="xsd:double"&gt;10.6987117041647&lt;/D&gt;&lt;D xsi:type="xsd:double"&gt;11.8345568568955&lt;/D&gt;&lt;D xsi:type="xsd:double"&gt;14.578703754807&lt;/D&gt;&lt;D xsi:type="xsd:double"&gt;14.6422617908353&lt;/D&gt;&lt;D xsi:type="xsd:double"&gt;15.0998704609938&lt;/D&gt;&lt;D xsi:type="xsd:double"&gt;15.2255952461039&lt;/D&gt;&lt;D xsi:type="xsd:double"&gt;15.1152520684276&lt;/D&gt;&lt;D xsi:type="xsd:double"&gt;15.4528537565204&lt;/D&gt;&lt;D xsi:type="xsd:double"&gt;14.3525176614828&lt;/D&gt;&lt;D xsi:type="xsd:double"&gt;14.1924847656696&lt;/D&gt;&lt;/FQL&gt;&lt;FQL&gt;&lt;Q&gt;WL-FDS^FG_PRICE_CHANGE(0,-1AM)&lt;/Q&gt;&lt;R&gt;1&lt;/R&gt;&lt;C&gt;1&lt;/C&gt;&lt;D xsi:type="xsd:double"&gt;-0.987925356750818&lt;/D&gt;&lt;/FQL&gt;&lt;FQL&gt;&lt;Q&gt;FC0000TR^FG_PRICE(0)&lt;/Q&gt;&lt;R&gt;1&lt;/R&gt;&lt;C&gt;1&lt;/C&gt;&lt;D xsi:type="xsd:double"&gt;257.87628&lt;/D&gt;&lt;/FQL&gt;&lt;FQL&gt;&lt;Q&gt;VNM^FG_PRICE(0)&lt;/Q&gt;&lt;R&gt;1&lt;/R&gt;&lt;C&gt;1&lt;/C&gt;&lt;D xsi:type="xsd:double"&gt;12.05&lt;/D&gt;&lt;/FQL&gt;&lt;FQL&gt;&lt;Q&gt;MCHI^FG_PRICE_MAVG(0,,,,30)&lt;/Q&gt;&lt;R&gt;1&lt;/R&gt;&lt;C&gt;1&lt;/C&gt;&lt;D xsi:type="xsd:double"&gt;43.072666&lt;/D&gt;&lt;/FQL&gt;&lt;FQL&gt;&lt;Q&gt;UAE^FG_TOTAL_RETURNC(0,-6AM)&lt;/Q&gt;&lt;R&gt;1&lt;/R&gt;&lt;C&gt;1&lt;/C&gt;&lt;D xsi:type="xsd:double"&gt;-0.65754056&lt;/D&gt;&lt;/FQL&gt;&lt;FQL&gt;&lt;Q&gt;EWY^P_PRICE(0)/P_PRICE_LOW_PR(0,,,,,,"PRICE","INTRA","52W")-1&lt;/Q&gt;&lt;R&gt;1&lt;/R&gt;&lt;C&gt;1&lt;/C&gt;&lt;D xsi:type="xsd:double"&gt;0.1971004&lt;/D&gt;&lt;/FQL&gt;&lt;FQL&gt;&lt;Q&gt;EWT^P_PRICE(0)/P_PRICE_HIGH_PR(0,,,,,,"PRICE","INTRA","52W")&lt;/Q&gt;&lt;R&gt;1&lt;/R&gt;&lt;C&gt;1&lt;/C&gt;&lt;D xsi:type="xsd:double"&gt;0.9211302&lt;/D&gt;&lt;/FQL&gt;&lt;FQL&gt;&lt;Q&gt;EPU^FG_TOTAL_RETURNC(0,-3AM)&lt;/Q&gt;&lt;R&gt;1&lt;/R&gt;&lt;C&gt;1&lt;/C&gt;&lt;D xsi:type="xsd:double"&gt;4.9656153&lt;/D&gt;&lt;/FQL&gt;&lt;FQL&gt;&lt;Q&gt;ECH^FG_TOTAL_RETURNC(0,-1AM)&lt;/Q&gt;&lt;R&gt;1&lt;/R&gt;&lt;C&gt;1&lt;/C&gt;&lt;D xsi:type="xsd:double"&gt;-0.56839585&lt;/D&gt;&lt;/FQL&gt;&lt;FQL&gt;&lt;Q&gt;EWJ^P_PRICE(0)/P_PRICE_HIGH_PR(0,,,,,,"PRICE","INTRA","52W")&lt;/Q&gt;&lt;R&gt;1&lt;/R&gt;&lt;C&gt;1&lt;/C&gt;&lt;D xsi:type="xsd:double"&gt;0.9707902&lt;/D&gt;&lt;/FQL&gt;&lt;FQL&gt;&lt;Q&gt;URTH^FMA_COS_DOWN("EPS","1M",+1,NOW,,,"PORTAGG","MEANR")&lt;/Q&gt;&lt;R&gt;1&lt;/R&gt;&lt;C&gt;1&lt;/C&gt;&lt;D xsi:type="xsd:double"&gt;607&lt;/D&gt;&lt;/FQL&gt;&lt;FQL&gt;&lt;Q&gt;TUR^FMA_COS_UP("EPS","1M",+1,NOW,,,"PORTAGG","MEANR")&lt;/Q&gt;&lt;R&gt;1&lt;/R&gt;&lt;C&gt;1&lt;/C&gt;&lt;D xsi:type="xsd:double"&gt;11&lt;/D&gt;&lt;/FQL&gt;&lt;FQL&gt;&lt;Q&gt;EZA^FMA_COS_UP("EPS","1M",+1,NOW,,,"PORTAGG","MEANR")&lt;/Q&gt;&lt;R&gt;1&lt;/R&gt;&lt;C&gt;1&lt;/C&gt;&lt;D xsi:type="xsd:double"&gt;13&lt;/D&gt;&lt;/FQL&gt;&lt;FQL&gt;&lt;Q&gt;EPU^FMA_COS_UP("EPS","1M",+1,NOW,,,"PORTAGG","MEANR")&lt;/Q&gt;&lt;R&gt;1&lt;/R&gt;&lt;C&gt;1&lt;/C&gt;&lt;D xsi:type="xsd:double"&gt;11&lt;/D&gt;&lt;/FQL&gt;&lt;FQL&gt;&lt;Q&gt;UAE^FMA_RBICS_REV_CURRENT(30, LOC, "PORTAGG")&lt;/Q&gt;&lt;R&gt;1&lt;/R&gt;&lt;C&gt;1&lt;/C&gt;&lt;D xsi:type="xsd:double"&gt;60.6446535047582&lt;/D&gt;&lt;/FQL&gt;&lt;FQL&gt;&lt;Q&gt;CNYA^FMA_RBICS_REV_CURRENT(30, LOC, "PORTAGG")&lt;/Q&gt;&lt;R&gt;1&lt;/R&gt;&lt;C&gt;1&lt;/C&gt;&lt;D xsi:type="xsd:double"&gt;20.828273971965&lt;/D&gt;&lt;/FQL&gt;&lt;FQL&gt;&lt;Q&gt;EPOL^FG_ROE(0)&lt;/Q&gt;&lt;R&gt;1&lt;/R&gt;&lt;C&gt;1&lt;/C&gt;&lt;D xsi:type="xsd:double"&gt;13.3025372213122&lt;/D&gt;&lt;/FQL&gt;&lt;FQL&gt;&lt;Q&gt;TRYMX10Y-FDS^FG_YIELD_NAME&lt;/Q&gt;&lt;R&gt;1&lt;/R&gt;&lt;C&gt;1&lt;/C&gt;&lt;D xsi:type="xsd:string"&gt;Treasury - Mexico Benchmark Bond 10Y&lt;/D&gt;&lt;/FQL&gt;&lt;FQL&gt;&lt;Q&gt;REFAEREPO-FDS^PROPER_NAME(0,,,"SECURITY","NAME")&lt;/Q&gt;&lt;R&gt;1&lt;/R&gt;&lt;C&gt;1&lt;/C&gt;&lt;D xsi:type="xsd:string"&gt;United Arab Emirates Repo Rate&lt;/D&gt;&lt;/FQL&gt;&lt;FQL&gt;&lt;Q&gt;REFEUREFI-FDS^FG_YIELD(NOW,,,0)&lt;/Q&gt;&lt;R&gt;1&lt;/R&gt;&lt;C&gt;1&lt;/C&gt;&lt;D xsi:type="xsd:double"&gt;4.25&lt;/D&gt;&lt;/FQL&gt;&lt;FQL&gt;&lt;Q&gt;REFMYON-FDS^(SUBARRAY(NOT_NA(NO_REPEAT_F(FG_YIELD(NOW,-10AY,D))),0,1)-SUBARRAY(NOT_NA(NO_REPEAT_F(FG_YIELD(NOW,-10AY,D))),1,1))*100&lt;/Q&gt;&lt;R&gt;1&lt;/R&gt;&lt;C&gt;1&lt;/C&gt;&lt;D xsi:type="xsd:double"&gt;25&lt;/D&gt;&lt;/FQL&gt;&lt;FQL&gt;&lt;Q&gt;TRYIN10Y-FDS^PCTCHG(FG_YIELD(0,,,,"YTM"),FG_YIELD(-3AM,,,,"YTM"))&lt;/Q&gt;&lt;R&gt;1&lt;/R&gt;&lt;C&gt;1&lt;/C&gt;&lt;D xsi:type="xsd:double"&gt;-3.4489932&lt;/D&gt;&lt;/FQL&gt;&lt;FQL&gt;&lt;Q&gt;TRYPE10Y-FDS^PCTCHG(FG_YIELD(0,,,,"YTM"),FG_YIELD(-1AM,,,,"YTM"))&lt;/Q&gt;&lt;R&gt;1&lt;/R&gt;&lt;C&gt;1&lt;/C&gt;&lt;D xsi:type="xsd:double"&gt;-2.9241042&lt;/D&gt;&lt;/FQL&gt;&lt;FQL&gt;&lt;Q&gt;TRYAE10Y-FDS^FG_YIELD(0,,,,"YTM")&lt;/Q&gt;&lt;R&gt;0&lt;/R&gt;&lt;C&gt;0&lt;/C&gt;&lt;/FQL&gt;&lt;FQL&gt;&lt;Q&gt;TRYBR10Y-FDS^FG_YIELD_NAME&lt;/Q&gt;&lt;R&gt;1&lt;/R&gt;&lt;C&gt;1&lt;/C&gt;&lt;D xsi:type="xsd:string"&gt;Treasury - Brazil Benchmark Bond 10Y&lt;/D&gt;&lt;/FQL&gt;&lt;FQL&gt;&lt;Q&gt;TIPSCL10Y-FDS^FG_YIELD(0,,,,"YTM")&lt;/Q&gt;&lt;R&gt;1&lt;/R&gt;&lt;C&gt;1&lt;/C&gt;&lt;D xsi:type="xsd:double"&gt;2.8277302&lt;/D&gt;&lt;/FQL&gt;&lt;FQL&gt;&lt;Q&gt;CC_TW^IMF_IFS_RCPI_Q(0)&lt;/Q&gt;&lt;R&gt;0&lt;/R&gt;&lt;C&gt;0&lt;/C&gt;&lt;/FQL&gt;&lt;FQL&gt;&lt;Q&gt;VGK^FG_FCF_YIELD_NTM(0)&lt;/Q&gt;&lt;R&gt;1&lt;/R&gt;&lt;C&gt;1&lt;/C&gt;&lt;D xsi:type="xsd:double"&gt;5.1987539643317&lt;/D&gt;&lt;/FQL&gt;&lt;FQL&gt;&lt;Q&gt;VNM^FMA_PE(LTM,0,,,"PORTAGG","MEANR")&lt;/Q&gt;&lt;R&gt;1&lt;/R&gt;&lt;C&gt;1&lt;/C&gt;&lt;D xsi:type="xsd:double"&gt;16.8554292070395&lt;/D&gt;&lt;/FQL&gt;&lt;FQL&gt;&lt;Q&gt;SET-BKK^FMA_EVAL_EBITDA(NTMA,0,,,"PORTAGG","MEANR")&lt;/Q&gt;&lt;R&gt;1&lt;/R&gt;&lt;C&gt;1&lt;/C&gt;&lt;D xsi:type="xsd:double"&gt;9.19981733133014&lt;/D&gt;&lt;/FQL&gt;&lt;FQL&gt;&lt;Q&gt;MCHI^FMA_PE(NTMA,0,,,"PORTAGG","MEANR")&lt;/Q&gt;&lt;R&gt;1&lt;/R&gt;&lt;C&gt;1&lt;/C&gt;&lt;D xsi:type="xsd:double"&gt;9.49651424379317&lt;/D&gt;&lt;/FQL&gt;&lt;FQL&gt;&lt;Q&gt;EZA^FMA_EVAL_EBIT(LTMA,NOW,NOW,M,"PORTAGG","MEANR")&lt;/Q&gt;&lt;R&gt;1&lt;/R&gt;&lt;C&gt;1&lt;/C&gt;&lt;D xsi:type="xsd:double"&gt;12.1460392320385&lt;/D&gt;&lt;/FQL&gt;&lt;FQL&gt;&lt;Q&gt;EWY^FMA_DIV_YLD(NTMA,NOW,NOW,M,"PORTAGG","MEANR")&lt;/Q&gt;&lt;R&gt;1&lt;/R&gt;&lt;C&gt;1&lt;/C&gt;&lt;D xsi:type="xsd:double"&gt;2.07320909980451&lt;/D&gt;&lt;/FQL&gt;&lt;FQL&gt;&lt;Q&gt;EWT^JULIAN(FMA_DIV_YLD(NTMA,NOW,NOW,M,"PORTAGG","MEANR").DATES)&lt;/Q&gt;&lt;R&gt;1&lt;/R&gt;&lt;C&gt;1&lt;/C&gt;&lt;D xsi:type="xsd:long"&gt;45471&lt;/D&gt;&lt;/FQL&gt;&lt;FQL&gt;&lt;Q&gt;EPOL^FG_FCF_YIELD_NTM(0)&lt;/Q&gt;&lt;R&gt;0&lt;/R&gt;&lt;C&gt;0&lt;/C&gt;&lt;/FQL&gt;&lt;FQL&gt;&lt;Q&gt;KSA^FG_COMPANY_NAME&lt;/Q&gt;&lt;R&gt;1&lt;/R&gt;&lt;C&gt;1&lt;/C&gt;&lt;D xsi:type="xsd:string"&gt;iShares MSCI Saudi Arabia ETF&lt;/D&gt;&lt;/FQL&gt;&lt;FQL&gt;&lt;Q&gt;^FG_YIELD(-10AY,0,Y,,"YTM")&lt;/Q&gt;&lt;R&gt;10&lt;/R&gt;&lt;C&gt;1&lt;/C&gt;&lt;D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xsi:type="xsd:string"&gt;@NA&lt;/D&gt;&lt;/FQL&gt;&lt;FQL&gt;&lt;Q&gt;USDEUR^FG_COMPANY_NAME&lt;/Q&gt;&lt;R&gt;1&lt;/R&gt;&lt;C&gt;1&lt;/C&gt;&lt;D xsi:type="xsd:string"&gt;Euro per U.S. Dollar&lt;/D&gt;&lt;/FQL&gt;&lt;FQL&gt;&lt;Q&gt;USDCLP^FG_PRICE_CHANGE(0,-6AM)&lt;/Q&gt;&lt;R&gt;1&lt;/R&gt;&lt;C&gt;1&lt;/C&gt;&lt;D xsi:type="xsd:double"&gt;3.1732202&lt;/D&gt;&lt;/FQL&gt;&lt;FQL&gt;&lt;Q&gt;FC0000MY^FMA_EPS(NTMA,-20AY,0,CY,,"PORTAGG","MEANR")&lt;/Q&gt;&lt;R&gt;20&lt;/R&gt;&lt;C&gt;1&lt;/C&gt;&lt;D xsi:type="xsd:double"&gt;10.1502703335633&lt;/D&gt;&lt;D xsi:type="xsd:double"&gt;10.4437641251748&lt;/D&gt;&lt;D xsi:type="xsd:double"&gt;12.9724796418955&lt;/D&gt;&lt;D xsi:type="xsd:double"&gt;18.2503396188415&lt;/D&gt;&lt;D xsi:type="xsd:double"&gt;14.0466581252587&lt;/D&gt;&lt;D xsi:type="xsd:double"&gt;15.3757138406976&lt;/D&gt;&lt;D xsi:type="xsd:double"&gt;21.4306644102707&lt;/D&gt;&lt;D xsi:type="xsd:double"&gt;21.3490176148404&lt;/D&gt;&lt;D xsi:type="xsd:double"&gt;22.6884806281536&lt;/D&gt;&lt;D xsi:type="xsd:double"&gt;22.3178913580133&lt;/D&gt;&lt;D xsi:type="xsd:double"&gt;20.4911207311994&lt;/D&gt;&lt;D xsi:type="xsd:double"&gt;16.0128576219857&lt;/D&gt;&lt;D xsi:type="xsd:double"&gt;14.3791410735133&lt;/D&gt;&lt;D xsi:type="xsd:double"&gt;17.4218065826708&lt;/D&gt;&lt;D xsi:type="xsd:double"&gt;16.3463734540467&lt;/D&gt;&lt;D xsi:type="xsd:double"&gt;15.6987954718694&lt;/D&gt;&lt;D xsi:type="xsd:double"&gt;16.3882261586729&lt;/D&gt;&lt;D xsi:type="xsd:double"&gt;16.0085524498021&lt;/D&gt;&lt;D xsi:type="xsd:double"&gt;16.7038107118506&lt;/D&gt;&lt;D xsi:type="xsd:double"&gt;16.2486587557372&lt;/D&gt;&lt;/FQL&gt;&lt;FQL&gt;&lt;Q&gt;EIDO^FMA_DIV_YLD(NTMA,-10AY,0,AM,"PORTAGG","MEANR")&lt;/Q&gt;&lt;R&gt;121&lt;/R&gt;&lt;C&gt;1&lt;/C&gt;&lt;D xsi:type="xsd:double"&gt;2.52984351128715&lt;/D&gt;&lt;D xsi:type="xsd:double"&gt;2.50544498662224&lt;/D&gt;&lt;D xsi:type="xsd:double"&gt;2.48862225202689&lt;/D&gt;&lt;D xsi:type="xsd:double"&gt;2.60702712127026&lt;/D&gt;&lt;D xsi:type="xsd:double"&gt;2.5013175506068&lt;/D&gt;&lt;D xsi:type="xsd:double"&gt;2.49659475981659&lt;/D&gt;&lt;D xsi:type="xsd:double"&gt;2.52471965957757&lt;/D&gt;&lt;D xsi:type="xsd:double"&gt;2.329479715493&lt;/D&gt;&lt;D xsi:type="xsd:double"&gt;2.29925127154473&lt;/D&gt;&lt;D xsi:type="xsd:double"&gt;2.31595526015455&lt;/D&gt;&lt;D xsi:type="xsd:double"&gt;2.341868270901&lt;/D&gt;&lt;D xsi:type="xsd:double"&gt;2.45738754156157&lt;/D&gt;&lt;D xsi:type="xsd:double"&gt;2.47296445936021&lt;/D&gt;&lt;D xsi:type="xsd:double"&gt;2.72073117847678&lt;/D&gt;&lt;D xsi:type="xsd:double"&gt;2.73966442100773&lt;/D&gt;&lt;D xsi:type="xsd:double"&gt;2.55499204081013&lt;/D&gt;&lt;D xsi:type="xsd:double"&gt;2.54743942065086&lt;/D&gt;&lt;D xsi:type="xsd:double"&gt;2.56170499814849&lt;/D&gt;&lt;D xsi:type="xsd:double"&gt;2.54618552688654&lt;/D&gt;&lt;D xsi:type="xsd:double"&gt;2.4371844945802&lt;/D&gt;&lt;D xsi:type="xsd:double"&gt;2.33483537730775&lt;/D&gt;&lt;D xsi:type="xsd:double"&gt;2.37258043194079&lt;/D&gt;&lt;D xsi:type="xsd:double"&gt;2.48641486563741&lt;/D&gt;&lt;D xsi:type="xsd:double"&gt;2.37660102830331&lt;/D&gt;&lt;D xsi:type="xsd:double"&gt;2.1718826047459&lt;/D&gt;&lt;D xsi:type="xsd:double"&gt;2.15808461074861&lt;/D&gt;&lt;D xsi:type="xsd:double"&gt;2.23660131653601&lt;/D&gt;&lt;D xsi:type="xsd:double"&gt;2.23955699869067&lt;/D&gt;&lt;D xsi:type="xsd:double"&gt;2.43638272830356&lt;/D&gt;&lt;D xsi:type="xsd:double"&gt;2.5064630388036&lt;/D&gt;&lt;D xsi:type="xsd:double"&gt;2.42716984337459&lt;/D&gt;&lt;D xsi:type="xsd:double"&gt;2.43035077752489&lt;/D&gt;&lt;D xsi:type="xsd:double"&gt;2.42568855277109&lt;/D&gt;&lt;D xsi:type="xsd:double"&gt;2.46950803713856&lt;/D&gt;&lt;D xsi:type="xsd:double"&gt;2.4513947411908&lt;/D&gt;&lt;D xsi:type="xsd:double"&gt;2.55583180892898&lt;/D&gt;&lt;D xsi:type="xsd:double"&gt;2.55955039948166&lt;/D&gt;&lt;D xsi:type="xsd:double"&gt;2.54437918408576&lt;/D&gt;&lt;D xsi:type="xsd:double"&gt;2.57392603016184&lt;/D&gt;&lt;D xsi:type="xsd:double"&gt;2.55294096946489&lt;/D&gt;&lt;D xsi:type="xsd:double"&gt;2.59136320183699&lt;/D&gt;&lt;D xsi:type="xsd:double"&gt;2.59961767568923&lt;/D&gt;&lt;D xsi:type="xsd:double"&gt;2.46711731099594&lt;/D&gt;&lt;D xsi:type="xsd:double"&gt;2.47696994894585&lt;/D&gt;&lt;D xsi:type="xsd:double"&gt;2.64769541547669&lt;/D&gt;&lt;D xsi:type="xsd:double"&gt;2.66309124899462&lt;/D&gt;&lt;D xsi:type="xsd:double"&gt;3.11965982683843&lt;/D&gt;&lt;D xsi:type="xsd:double"&gt;3.00776386941179&lt;/D&gt;&lt;D xsi:type="xsd:double"&gt;3.1230405576758&lt;/D&gt;&lt;D xsi:type="xsd:double"&gt;3.12525953144083&lt;/D&gt;&lt;D xsi:type="xsd:double"&gt;3.05784485634482&lt;/D&gt;&lt;D xsi:type="xsd:double"&gt;3.09356191541378&lt;/D&gt;&lt;D xsi:type="xsd:double"&gt;2.91873945384783&lt;/D&gt;&lt;D xsi:type="xsd:double"&gt;2.83611497815093&lt;/D&gt;&lt;D xsi:type="xsd:double"&gt;2.74317382951825&lt;/D&gt;&lt;D xsi:type="xsd:double"&gt;2.84641232234343&lt;/D&gt;&lt;D xsi:type="xsd:double"&gt;2.79267661006035&lt;/D&gt;&lt;D xsi:type="xsd:double"&gt;2.78736056382885&lt;/D&gt;&lt;D xsi:type="xsd:double"&gt;3.23175609756698&lt;/D&gt;&lt;D xsi:type="xsd:double"&gt;2.78627233758103&lt;/D&gt;&lt;D xsi:type="xsd:double"&gt;2.68054044193348&lt;/D&gt;&lt;D xsi:type="xsd:double"&gt;2.79664685724013&lt;/D&gt;&lt;D xsi:type="xsd:double"&gt;2.80686375850216&lt;/D&gt;&lt;D xsi:type="xsd:double"&gt;2.79239448527149&lt;/D&gt;&lt;D xsi:type="xsd:double"&gt;2.79912029204017&lt;/D&gt;&lt;D xsi:type="xsd:double"&gt;2.80371207435544&lt;/D&gt;&lt;D xsi:type="xsd:double"&gt;2.68929569106471&lt;/D&gt;&lt;D xsi:type="xsd:double"&gt;2.87228967926818&lt;/D&gt;&lt;D xsi:type="xsd:double"&gt;4.64269077441665&lt;/D&gt;&lt;D xsi:type="xsd:double"&gt;3.94461364687081&lt;/D&gt;&lt;D xsi:type="xsd:double"&gt;3.78679451393464&lt;/D&gt;&lt;D xsi:type="xsd:double"&gt;3.09880898645544&lt;/D&gt;&lt;D xsi:type="xsd:double"&gt;2.91214668710478&lt;/D&gt;&lt;D xsi:type="xsd:double"&gt;2.76580313437034&lt;/D&gt;&lt;D xsi:type="xsd:double"&gt;2.91968492804845&lt;/D&gt;&lt;D xsi:type="xsd:double"&gt;2.83367965560636&lt;/D&gt;&lt;D xsi:type="xsd:double"&gt;2.48607193014794&lt;/D&gt;&lt;D xsi:type="xsd:double"&gt;2.21743867681284&lt;/D&gt;&lt;D xsi:type="xsd:double"&gt;2.2329591237147&lt;/D&gt;&lt;D xsi:type="xsd:double"&gt;2.45553730595171&lt;/D&gt;&lt;D xsi:type="xsd:double"&gt;2.53405287261624&lt;/D&gt;&lt;D xsi:type="xsd:double"&gt;2.73440724757447&lt;/D&gt;&lt;D xsi:type="xsd:double"&gt;2.8877881561161&lt;/D&gt;&lt;D xsi:type="xsd:double"&gt;2.94422372279695&lt;/D&gt;&lt;D xsi:type="xsd:double"&gt;3.09842379082216&lt;/D&gt;&lt;D xsi:type="xsd:double"&gt;3.07341301774303&lt;/D&gt;&lt;D xsi:type="xsd:double"&gt;3.11029626380985&lt;/D&gt;&lt;D xsi:type="xsd:double"&gt;2.85506170280031&lt;/D&gt;&lt;D xsi:type="xsd:double"&gt;3.0553865402349&lt;/D&gt;&lt;D xsi:type="xsd:double"&gt;3.14134970893452&lt;/D&gt;&lt;D xsi:type="xsd:double"&gt;3.16027742511894&lt;/D&gt;&lt;D xsi:type="xsd:double"&gt;3.08950123735304&lt;/D&gt;&lt;D xsi:type="xsd:double"&gt;3.23238549742763&lt;/D&gt;&lt;D xsi:type="xsd:double"&gt;3.32164552580302&lt;/D&gt;&lt;D xsi:type="xsd:double"&gt;3.54001348827048&lt;/D&gt;&lt;D xsi:type="xsd:double"&gt;3.56537432624368&lt;/D&gt;&lt;D xsi:type="xsd:double"&gt;3.72213054063757&lt;/D&gt;&lt;D xsi:type="xsd:double"&gt;3.63639690912816&lt;/D&gt;&lt;D xsi:type="xsd:double"&gt;3.56884709271482&lt;/D&gt;&lt;D xsi:type="xsd:double"&gt;3.87118437197084&lt;/D&gt;&lt;D xsi:type="xsd:double"&gt;3.92202058575923&lt;/D&gt;&lt;D xsi:type="xsd:double"&gt;4.03709428707082&lt;/D&gt;&lt;D xsi:type="xsd:double"&gt;4.16644528305615&lt;/D&gt;&lt;D xsi:type="xsd:double"&gt;4.19304081979607&lt;/D&gt;&lt;D xsi:type="xsd:double"&gt;4.3567684372054&lt;/D&gt;&lt;D xsi:type="xsd:double"&gt;4.3228513523825&lt;/D&gt;&lt;D xsi:type="xsd:double"&gt;4.63922972368983&lt;/D&gt;&lt;D xsi:type="xsd:double"&gt;4.29872573146731&lt;/D&gt;&lt;D xsi:type="xsd:double"&gt;4.17095332725243&lt;/D&gt;&lt;D xsi:type="xsd:double"&gt;4.15312754371052&lt;/D&gt;&lt;D xsi:type="xsd:double"&gt;4.13628094284485&lt;/D&gt;&lt;D xsi:type="xsd:double"&gt;4.3298309201863&lt;/D&gt;&lt;D xsi:type="xsd:double"&gt;4.18504342508144&lt;/D&gt;&lt;D xsi:type="xsd:double"&gt;4.13921935640855&lt;/D&gt;&lt;D xsi:type="xsd:double"&gt;4.08541459692539&lt;/D&gt;&lt;D xsi:type="xsd:double"&gt;4.04485427877032&lt;/D&gt;&lt;D xsi:type="xsd:double"&gt;4.07021487296633&lt;/D&gt;&lt;D xsi:type="xsd:double"&gt;4.4389433463967&lt;/D&gt;&lt;D xsi:type="xsd:dou</t>
        </r>
      </text>
    </comment>
    <comment ref="A7" authorId="0" shapeId="0" xr:uid="{F7EF9DBC-CDD0-4F76-AE98-C766C8079FE9}">
      <text>
        <r>
          <rPr>
            <b/>
            <sz val="9"/>
            <color indexed="81"/>
            <rFont val="Tahoma"/>
            <charset val="1"/>
          </rPr>
          <t>ble"&gt;4.41206201543031&lt;/D&gt;&lt;D xsi:type="xsd:double"&gt;4.77441156429123&lt;/D&gt;&lt;D xsi:type="xsd:double"&gt;4.42589598376587&lt;/D&gt;&lt;/FQL&gt;&lt;FQL&gt;&lt;Q&gt;EIDO^FMA_PE(NTMA,-10AY,0,AM,"PORTAGG","MEANR")&lt;/Q&gt;&lt;R&gt;121&lt;/R&gt;&lt;C&gt;1&lt;/C&gt;&lt;D xsi:type="xsd:double"&gt;14.7069191462284&lt;/D&gt;&lt;D xsi:type="xsd:double"&gt;14.8660229366456&lt;/D&gt;&lt;D xsi:type="xsd:double"&gt;14.8551026807941&lt;/D&gt;&lt;D xsi:type="xsd:double"&gt;14.24680525845&lt;/D&gt;&lt;D xsi:type="xsd:double"&gt;14.8617778302252&lt;/D&gt;&lt;D xsi:type="xsd:double"&gt;14.8304896135308&lt;/D&gt;&lt;D xsi:type="xsd:double"&gt;14.8204090561302&lt;/D&gt;&lt;D xsi:type="xsd:double"&gt;15.9119073227676&lt;/D&gt;&lt;D xsi:type="xsd:double"&gt;15.9980907756076&lt;/D&gt;&lt;D xsi:type="xsd:double"&gt;15.8883925537022&lt;/D&gt;&lt;D xsi:type="xsd:double"&gt;15.4143765523307&lt;/D&gt;&lt;D xsi:type="xsd:double"&gt;14.7170695143844&lt;/D&gt;&lt;D xsi:type="xsd:double"&gt;14.348156337604&lt;/D&gt;&lt;D xsi:type="xsd:double"&gt;13.1174109439718&lt;/D&gt;&lt;D xsi:type="xsd:double"&gt;13.3549831638735&lt;/D&gt;&lt;D xsi:type="xsd:double"&gt;14.3712608103626&lt;/D&gt;&lt;D xsi:type="xsd:double"&gt;14.2383368916267&lt;/D&gt;&lt;D xsi:type="xsd:double"&gt;14.0397328530258&lt;/D&gt;&lt;D xsi:type="xsd:double"&gt;14.2457052614114&lt;/D&gt;&lt;D xsi:type="xsd:double"&gt;14.8057851236264&lt;/D&gt;&lt;D xsi:type="xsd:double"&gt;15.4047494903116&lt;/D&gt;&lt;D xsi:type="xsd:double"&gt;15.1158171316662&lt;/D&gt;&lt;D xsi:type="xsd:double"&gt;14.2406431626934&lt;/D&gt;&lt;D xsi:type="xsd:double"&gt;14.8853591322801&lt;/D&gt;&lt;D xsi:type="xsd:double"&gt;16.2853236687732&lt;/D&gt;&lt;D xsi:type="xsd:double"&gt;16.7243275013207&lt;/D&gt;&lt;D xsi:type="xsd:double"&gt;16.1104106256632&lt;/D&gt;&lt;D xsi:type="xsd:double"&gt;16.4415200151734&lt;/D&gt;&lt;D xsi:type="xsd:double"&gt;15.0530850150279&lt;/D&gt;&lt;D xsi:type="xsd:double"&gt;14.7724941887367&lt;/D&gt;&lt;D xsi:type="xsd:double"&gt;15.2251467437515&lt;/D&gt;&lt;D xsi:type="xsd:double"&gt;15.1786412822329&lt;/D&gt;&lt;D xsi:type="xsd:double"&gt;15.4047988373388&lt;/D&gt;&lt;D xsi:type="xsd:double"&gt;15.2543121398178&lt;/D&gt;&lt;D xsi:type="xsd:double"&gt;15.8730848292295&lt;/D&gt;&lt;D xsi:type="xsd:double"&gt;15.5482284018681&lt;/D&gt;&lt;D xsi:type="xsd:double"&gt;15.6029909292856&lt;/D&gt;&lt;D xsi:type="xsd:double"&gt;15.715625657137&lt;/D&gt;&lt;D xsi:type="xsd:double"&gt;15.4888360283173&lt;/D&gt;&lt;D xsi:type="xsd:double"&gt;15.4132692096095&lt;/D&gt;&lt;D xsi:type="xsd:double"&gt;15.4632089903243&lt;/D&gt;&lt;D xsi:type="xsd:double"&gt;15.4101138481674&lt;/D&gt;&lt;D xsi:type="xsd:double"&gt;16.0069703853623&lt;/D&gt;&lt;D xsi:type="xsd:double"&gt;15.5600733089094&lt;/D&gt;&lt;D xsi:type="xsd:double"&gt;14.6731953464013&lt;/D&gt;&lt;D xsi:type="xsd:double"&gt;14.9609818872023&lt;/D&gt;&lt;D xsi:type="xsd:double"&gt;13.0959544340113&lt;/D&gt;&lt;D xsi:type="xsd:double"&gt;13.3813882398376&lt;/D&gt;&lt;D xsi:type="xsd:double"&gt;12.8027377966603&lt;/D&gt;&lt;D xsi:type="xsd:double"&gt;13.1324559579625&lt;/D&gt;&lt;D xsi:type="xsd:double"&gt;13.1654005310992&lt;/D&gt;&lt;D xsi:type="xsd:double"&gt;13.0704101504636&lt;/D&gt;&lt;D xsi:type="xsd:double"&gt;13.7499414351167&lt;/D&gt;&lt;D xsi:type="xsd:double"&gt;14.144685755694&lt;/D&gt;&lt;D xsi:type="xsd:double"&gt;14.8038385509025&lt;/D&gt;&lt;D xsi:type="xsd:double"&gt;14.4734090714049&lt;/D&gt;&lt;D xsi:type="xsd:double"&gt;14.6350009736909&lt;/D&gt;&lt;D xsi:type="xsd:double"&gt;14.3603079477299&lt;/D&gt;&lt;D xsi:type="xsd:double"&gt;12.454380707232&lt;/D&gt;&lt;D xsi:type="xsd:double"&gt;14.0713842493117&lt;/D&gt;&lt;D xsi:type="xsd:double"&gt;15.0451589755455&lt;/D&gt;&lt;D xsi:type="xsd:double"&gt;14.6571516193897&lt;/D&gt;&lt;D xsi:type="xsd:double"&gt;14.5866301804745&lt;/D&gt;&lt;D xsi:type="xsd:double"&gt;14.5171572276066&lt;/D&gt;&lt;D xsi:type="xsd:double"&gt;14.7983974151708&lt;/D&gt;&lt;D xsi:type="xsd:double"&gt;15.0015899331769&lt;/D&gt;&lt;D xsi:type="xsd:double"&gt;15.679994317801&lt;/D&gt;&lt;D xsi:type="xsd:double"&gt;14.5817963369804&lt;/D&gt;&lt;D xsi:type="xsd:double"&gt;9.33041018439459&lt;/D&gt;&lt;D xsi:type="xsd:double"&gt;10.9903121179952&lt;/D&gt;&lt;D xsi:type="xsd:double"&gt;12.391102269513&lt;/D&gt;&lt;D xsi:type="xsd:double"&gt;16.0140031216645&lt;/D&gt;&lt;D xsi:type="xsd:double"&gt;16.3623477357563&lt;/D&gt;&lt;D xsi:type="xsd:double"&gt;16.9619685448124&lt;/D&gt;&lt;D xsi:type="xsd:double"&gt;15.6504314659506&lt;/D&gt;&lt;D xsi:type="xsd:double"&gt;15.857805450638&lt;/D&gt;&lt;D xsi:type="xsd:double"&gt;17.4220047520734&lt;/D&gt;&lt;D xsi:type="xsd:double"&gt;18.5803221791885&lt;/D&gt;&lt;D xsi:type="xsd:double"&gt;18.0557821385626&lt;/D&gt;&lt;D xsi:type="xsd:double"&gt;17.3568555987738&lt;/D&gt;&lt;D xsi:type="xsd:double"&gt;17.0140186215905&lt;/D&gt;&lt;D xsi:type="xsd:double"&gt;16.2254012166443&lt;/D&gt;&lt;D xsi:type="xsd:double"&gt;15.1126854222151&lt;/D&gt;&lt;D xsi:type="xsd:double"&gt;15.1554139295911&lt;/D&gt;&lt;D xsi:type="xsd:double"&gt;14.6329605879191&lt;/D&gt;&lt;D xsi:type="xsd:double"&gt;14.9144654915233&lt;/D&gt;&lt;D xsi:type="xsd:double"&gt;14.9087211999452&lt;/D&gt;&lt;D xsi:type="xsd:double"&gt;15.9338038743264&lt;/D&gt;&lt;D xsi:type="xsd:double"&gt;15.2827512157491&lt;/D&gt;&lt;D xsi:type="xsd:double"&gt;14.734731104948&lt;/D&gt;&lt;D xsi:type="xsd:double"&gt;14.6243850682949&lt;/D&gt;&lt;D xsi:type="xsd:double"&gt;15.308968227497&lt;/D&gt;&lt;D xsi:type="xsd:double"&gt;14.8480003840383&lt;/D&gt;&lt;D xsi:type="xsd:double"&gt;14.2403247399131&lt;/D&gt;&lt;D xsi:type="xsd:double"&gt;13.3548184809102&lt;/D&gt;&lt;D xsi:type="xsd:double"&gt;12.6439667582656&lt;/D&gt;&lt;D xsi:type="xsd:double"&gt;12.2888717793679&lt;/D&gt;&lt;D xsi:type="xsd:double"&gt;12.9208448742907&lt;/D&gt;&lt;D xsi:type="xsd:double"&gt;13.2065697675381&lt;/D&gt;&lt;D xsi:type="xsd:double"&gt;12.3536746522022&lt;/D&gt;&lt;D xsi:type="xsd:double"&gt;12.6020397836524&lt;/D&gt;&lt;D xsi:type="xsd:double"&gt;12.3447410519983&lt;/D&gt;&lt;D xsi:type="xsd:double"&gt;12.1301129960102&lt;/D&gt;&lt;D xsi:type="xsd:double"&gt;12.2161095754319&lt;/D&gt;&lt;D xsi:type="xsd:double"&gt;11.607479597087&lt;/D&gt;&lt;D xsi:type="xsd:double"&gt;12.1616634382958&lt;/D&gt;&lt;D xsi:type="xsd:double"&gt;11.9251161652253&lt;/D&gt;&lt;D xsi:type="xsd:double"&gt;13.5427669676569&lt;/D&gt;&lt;D xsi:type="xsd:double"&gt;13.5548133114056&lt;/D&gt;&lt;D xsi:type="xsd:double"&gt;13.4475151650251&lt;/D&gt;&lt;D xsi:type="xsd:double"&gt;13.3316946877118&lt;/D&gt;&lt;D xsi:type="xsd:double"&gt;12.4934248421019&lt;/D&gt;&lt;D xsi:type="xsd:double"&gt;12.4619562893904&lt;/D&gt;&lt;D xsi:type="xsd:double"&gt;12.6755195512557&lt;/D&gt;&lt;D xsi:type="xsd:double"&gt;12.8460344835563&lt;/D&gt;&lt;D xsi:type="xsd:double"&gt;13.1863916293467&lt;/D&gt;&lt;D xsi:type="xsd:double"&gt;13.0535571634656&lt;/D&gt;&lt;D xsi:type="xsd:double"&gt;11.9541801425583&lt;/D&gt;&lt;D xsi:type="xsd:double"&gt;12.1438378187841&lt;/D&gt;&lt;D xsi:type="xsd:double"&gt;11.5421246839159&lt;/D&gt;&lt;D xsi:type="xsd:double"&gt;12.3073397143557&lt;/D&gt;&lt;/FQL&gt;&lt;FQL&gt;&lt;Q&gt;PLATI-FDS^FG_PRICE_CHANGE(0,-6AM)&lt;/Q&gt;&lt;R&gt;1&lt;/R&gt;&lt;C&gt;1&lt;/C&gt;&lt;D xsi:type="xsd:double"&gt;9.64912280701755&lt;/D&gt;&lt;/FQL&gt;&lt;FQL&gt;&lt;Q&gt;W-FDS^FG_PRICE_MAVG(0,,,,30)&lt;/Q&gt;&lt;R&gt;1&lt;/R&gt;&lt;C&gt;1&lt;/C&gt;&lt;D xsi:type="xsd:double"&gt;5.6960835&lt;/D&gt;&lt;/FQL&gt;&lt;FQL&gt;&lt;Q&gt;TIOS-FDS^FG_PRICE(0)/MAX(FG_PRICE(0,-1AY))&lt;/Q&gt;&lt;R&gt;1&lt;/R&gt;&lt;C&gt;1&lt;/C&gt;&lt;D xsi:type="xsd:double"&gt;0.75423140954495&lt;/D&gt;&lt;/FQL&gt;&lt;FQL&gt;&lt;Q&gt;FC0000TW^FG_PRICE(0)&lt;/Q&gt;&lt;R&gt;1&lt;/R&gt;&lt;C&gt;1&lt;/C&gt;&lt;D xsi:type="xsd:double"&gt;377.494&lt;/D&gt;&lt;/FQL&gt;&lt;FQL&gt;&lt;Q&gt;FC0000ID^FG_PRICE(0)&lt;/Q&gt;&lt;R&gt;1&lt;/R&gt;&lt;C&gt;1&lt;/C&gt;&lt;D xsi:type="xsd:double"&gt;1122.4&lt;/D&gt;&lt;/FQL&gt;&lt;FQL&gt;&lt;Q&gt;MCHI^FG_PRICE(0)&lt;/Q&gt;&lt;R&gt;1&lt;/R&gt;&lt;C&gt;1&lt;/C&gt;&lt;D xsi:type="xsd:double"&gt;42.02&lt;/D&gt;&lt;/FQL&gt;&lt;FQL&gt;&lt;Q&gt;EWW^FG_PRICE_MAVG(0,,,,200)&lt;/Q&gt;&lt;R&gt;1&lt;/R&gt;&lt;C&gt;1&lt;/C&gt;&lt;D xsi:type="xsd:double"&gt;63.3829&lt;/D&gt;&lt;/FQL&gt;&lt;FQL&gt;&lt;Q&gt;USDSAR^FG_PRICE_CHANGE(0,-1AY)&lt;/Q&gt;&lt;R&gt;1&lt;/R&gt;&lt;C&gt;1&lt;/C&gt;&lt;D xsi:type="xsd:double"&gt;-0.007992983&lt;/D&gt;&lt;/FQL&gt;&lt;FQL&gt;&lt;Q&gt;USDQAR^STD(FG_PRICE_CHANGE(0,-3AY,M))&lt;/Q&gt;&lt;R&gt;1&lt;/R&gt;&lt;C&gt;1&lt;/C&gt;&lt;D xsi:type="xsd:double"&gt;0.00998265294793277&lt;/D&gt;&lt;/FQL&gt;&lt;FQL&gt;&lt;Q&gt;USDMXN^FG_PRICE_CHANGE(0,-3AM)&lt;/Q&gt;&lt;R&gt;1&lt;/R&gt;&lt;C&gt;1&lt;/C&gt;&lt;D xsi:type="xsd:double"&gt;3.773868&lt;/D&gt;&lt;/FQL&gt;&lt;FQL&gt;&lt;Q&gt;USDPLN^STD(FG_PRICE_CHANGE(0,-1AY,AM))&lt;/Q&gt;&lt;R&gt;1&lt;/R&gt;&lt;C&gt;1&lt;/C&gt;&lt;D xsi:type="xsd:double"&gt;3.12858607056578&lt;/D&gt;&lt;/FQL&gt;&lt;FQL&gt;&lt;Q&gt;USDCLP^FG_PRICE(0)&lt;/Q&gt;&lt;R&gt;1&lt;/R&gt;&lt;C&gt;1&lt;/C&gt;&lt;D xsi:type="xsd:double"&gt;939.97&lt;/D&gt;&lt;/FQL&gt;&lt;FQL&gt;&lt;Q&gt;EPU^FMA_EPS(NTMA,-20AY,0,CY,,"PORTAGG","MEANR")&lt;/Q&gt;&lt;R&gt;20&lt;/R&gt;&lt;C&gt;1&lt;/C&gt;&lt;D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xsi:type="xsd:double"&gt;2.32525395129155&lt;/D&gt;&lt;D xsi:type="xsd:double"&gt;3.70455099626404&lt;/D&gt;&lt;D xsi:type="xsd:double"&gt;3.91000310564685&lt;/D&gt;&lt;D xsi:type="xsd:double"&gt;3.95899801372697&lt;/D&gt;&lt;D xsi:type="xsd:double"&gt;2.82022185033686&lt;/D&gt;&lt;D xsi:type="xsd:double"&gt;2.58004727651874&lt;/D&gt;&lt;D xsi:type="xsd:double"&gt;1.7402921975997&lt;/D&gt;&lt;D xsi:type="xsd:double"&gt;2.8587512141433&lt;/D&gt;&lt;D xsi:type="xsd:double"&gt;3.049394604189&lt;/D&gt;&lt;D xsi:type="xsd:double"&gt;2.65459381565907&lt;/D&gt;&lt;D xsi:type="xsd:double"&gt;2.43807409059732&lt;/D&gt;&lt;D xsi:type="xsd:double"&gt;2.41141007361686&lt;/D&gt;&lt;D xsi:type="xsd:double"&gt;2.94854994796204&lt;/D&gt;&lt;D xsi:type="xsd:double"&gt;3.11609679434847&lt;/D&gt;&lt;D xsi:type="xsd:double"&gt;2.96006707163236&lt;/D&gt;&lt;/FQL&gt;&lt;FQL&gt;&lt;Q&gt;EIDO^P_PRICE_RETURNS_PR('52W',2,-10AY,0,AM)&lt;/Q&gt;&lt;R&gt;121&lt;/R&gt;&lt;C&gt;1&lt;/C&gt;&lt;D xsi:type="xsd:double"&gt;-3.0098677&lt;/D&gt;&lt;D xsi:type="xsd:double"&gt;14.553523&lt;/D&gt;&lt;D xsi:type="xsd:double"&gt;2.4407864&lt;/D&gt;&lt;D xsi:type="xsd:double"&gt;2.7158022&lt;/D&gt;&lt;D xsi:type="xsd:double"&gt;16.529655&lt;/D&gt;&lt;D xsi:type="xsd:double"&gt;22.931458&lt;/D&gt;&lt;D xsi:type="xsd:double"&gt;16.170097&lt;/D&gt;&lt;D xsi:type="xsd:double"&gt;10.990822&lt;/D&gt;&lt;D xsi:type="xsd:double"&gt;-1.0143578&lt;/D&gt;&lt;D xsi:type="xsd:double"&gt;-1.3202131&lt;/D&gt;&lt;D xsi:type="xsd:double"&gt;-9.393263&lt;/D&gt;&lt;D xsi:type="xsd:double"&gt;-9.0279875&lt;/D&gt;&lt;D xsi:type="xsd:double"&gt;-16.00566&lt;/D&gt;&lt;D xsi:type="xsd:double"&gt;-30.08986&lt;/D&gt;&lt;D xsi:type="xsd:double"&gt;-33.41984&lt;/D&gt;&lt;D xsi:type="xsd:double"&gt;-21.337759&lt;/D&gt;&lt;D xsi:type="xsd:double"&gt;-23.524391&lt;/D&gt;&lt;D xsi:type="xsd:double"&gt;-23.34903&lt;/D&gt;&lt;D xsi:type="xsd:double"&gt;-22.937637&lt;/D&gt;&lt;D xsi:type="xsd:double"&gt;-18.431002&lt;/D&gt;&lt;D xsi:type="xsd:double"&gt;-11.063093&lt;/D&gt;&lt;D xsi:type="xsd:double"&gt;-11.298603&lt;/D&gt;&lt;D xsi:type="xsd:double"&gt;-16.218513&lt;/D&gt;&lt;D xsi:type="xsd:double"&gt;-2.5050163&lt;/D&gt;&lt;D xsi:type="xsd:double"&gt;10.352683&lt;/D&gt;&lt;D xsi:type="xsd:double"&gt;33.50241&lt;/D&gt;&lt;D xsi:type="xsd:double"&gt;40.938904&lt;/D&gt;&lt;D xsi:type="xsd:double"&gt;28.597664&lt;/D&gt;&lt;D xsi:type="xsd:double"&gt;15.677631&lt;/D&gt;&lt;D xsi:type="xsd:double"&gt;18.192947&lt;/D&gt;&lt;D xsi:type="xsd:double"&gt;20.682848&lt;/D&gt;&lt;D xsi:type="xsd:double"&gt;7.5850606&lt;/D&gt;&lt;D xsi:type="xsd:double"&gt;6.7329288&lt;/D&gt;&lt;D xsi:type="xsd:double"&gt;7.5743914&lt;/D&gt;&lt;D xsi:type="xsd:double"&gt;28.614975&lt;/D&gt;&lt;D xsi:type="xsd:double"&gt;18.956709&lt;/D&gt;&lt;D xsi:type="xsd:double"&gt;8.078289&lt;/D&gt;&lt;D xsi:type="xsd:double"&gt;2.5845885&lt;/D&gt;&lt;D xsi:type="xsd:double"&gt;6.5678716&lt;/D&gt;&lt;D xsi:type="xsd:double"&gt;1.3739705&lt;/D&gt;&lt;D xsi:type="xsd:double"&gt;14.54624&lt;/D&gt;&lt;D xsi:type="xsd:double"&gt;17.344688&lt;/D&gt;&lt;D xsi:type="xsd:double"&gt;24.52314&lt;/D&gt;&lt;D xsi:type="xsd:double"&gt;23.031664&lt;/D&gt;&lt;D xsi:type="xsd:double"&gt;7.6235294&lt;/D&gt;&lt;D xsi:type="xsd:double"&gt;8.019066&lt;/D&gt;&lt;D xsi:type="xsd:double"&gt;-7.7500105&lt;/D&gt;&lt;D xsi:type="xsd:double"&gt;-9.32787&lt;/D&gt;&lt;D xsi:type="xsd:double"&gt;-12.84737&lt;/D&gt;&lt;D xsi:type="xsd:double"&gt;-13.137513&lt;/D&gt;&lt;D xsi:type="xsd:double"&gt;-14.240307&lt;/D&gt;&lt;D xsi:type="xsd:double"&gt;-16.72461&lt;/D&gt;&lt;D xsi:type="xsd:double"&gt;-9.813833&lt;/D&gt;&lt;D xsi:type="xsd:double"&gt;-8.4702015&lt;/D&gt;&lt;D xsi:type="xsd:double"&gt;-6.758255&lt;/D&gt;&lt;D xsi:type="xsd:double"&gt;-9.320646&lt;/D&gt;&lt;D xsi:type="xsd:double"&gt;-1.8693626&lt;/D&gt;&lt;D xsi:type="xsd:double"&gt;-1.477021&lt;/D&gt;&lt;D xsi:type="xsd:double"&gt;-6.425947&lt;/D&gt;&lt;D xsi:type="xsd:double"&gt;9.820962&lt;/D&gt;&lt;D xsi:type="xsd:double"&gt;16.299606&lt;/D&gt;&lt;D xsi:type="xsd:double"&gt;10.199558&lt;/D&gt;&lt;D xsi:type="xsd:double"&gt;12.196409&lt;/D&gt;&lt;D xsi:type="xsd:double"&gt;18.338097&lt;/D&gt;&lt;D xsi:type="xsd:double"&gt;4.8802137&lt;/D&gt;&lt;D xsi:type="xsd:double"&gt;5.516374&lt;/D&gt;&lt;D xsi:type="xsd:double"&gt;0.30794144&lt;/D&gt;&lt;D xsi:type="xsd:double"&gt;-7.129848&lt;/D&gt;&lt;D xsi:type="xsd:double"&gt;-48.21523&lt;/D&gt;&lt;D xsi:type="xsd:double"&gt;-40.599586&lt;/D&gt;&lt;D xsi:type="xsd:double"&gt;-26.933098&lt;/D&gt;&lt;D xsi:type="xsd:double"&gt;-26.953697&lt;/D&gt;&lt;D xsi:type="xsd:double"&gt;-27.521587&lt;/D&gt;&lt;D xsi:type="xsd:double"&gt;-19.933617&lt;/D&gt;&lt;D xsi:type="xsd:double"&gt;-27.947014&lt;/D&gt;&lt;D xsi:type="xsd:double"&gt;-25.24317&lt;/D&gt;&lt;D xsi:type="xsd:double"&gt;-11.06543&lt;/D&gt;&lt;D xsi:type="xsd:double"&gt;-4.6614647&lt;/D&gt;&lt;D xsi:type="xsd:double"&gt;-7.487279&lt;/D&gt;&lt;D xsi:type="xsd:double"&gt;-1.508987&lt;/D&gt;&lt;D xsi:type="xsd:double"&gt;78.62722&lt;/D&gt;&lt;D xsi:type="xsd:double"&gt;41.28703&lt;/D&gt;&lt;D xsi:type="xsd:double"&gt;33.14364&lt;/D&gt;&lt;D xsi:type="xsd:double"&gt;12.653744&lt;/D&gt;&lt;D xsi:type="xsd:double"&gt;7.0332527&lt;/D&gt;&lt;D xsi:type="xsd:double"&gt;6.5116525&lt;/D&gt;&lt;D xsi:type="xsd:double"&gt;18.754887&lt;/D&gt;&lt;D xsi:type="xsd:double"&gt;36.057877&lt;/D&gt;&lt;D xsi:type="xsd:double"&gt;10.578346&lt;/D&gt;&lt;D xsi:type="xsd:double"&gt;-4.1231275&lt;/D&gt;&lt;D xsi:type="xsd:double"&gt;-3.1443417&lt;/D&gt;&lt;D xsi:type="xsd:double"&gt;3.6345243&lt;/D&gt;&lt;D xsi:type="xsd:double"&gt;8.4454775&lt;/D&gt;&lt;D xsi:type="xsd:double"&gt;14.107323&lt;/D&gt;&lt;D xsi:type="xsd:double"&gt;14.237488&lt;/D&gt;&lt;D xsi:type="xsd:double"&gt;8.916271&lt;/D&gt;&lt;D xsi:type="xsd:double"&gt;13.577199&lt;/D&gt;&lt;D xsi:type="xsd:double"&gt;17.27723&lt;/D&gt;&lt;D xsi:type="xsd:double"&gt;18.219507&lt;/D&gt;&lt;D xsi:type="xsd:double"&gt;-6.2182665&lt;/D&gt;&lt;D xsi:type="xsd:double"&gt;0.6941438&lt;/D&gt;&lt;D xsi:type="xsd:double"&gt;2.2545218&lt;/D&gt;&lt;D xsi:type="xsd:double"&gt;1.191616&lt;/D&gt;&lt;D xsi:type="xsd:double"&gt;-0.5267143&lt;/D&gt;&lt;D xsi:type="xsd:double"&gt;-8.317542&lt;/D&gt;&lt;D xsi:type="xsd:double"&gt;-0.65962076&lt;/D&gt;&lt;D xsi:type="xsd:double"&gt;2.1312594&lt;/D&gt;&lt;D xsi:type="xsd:double"&gt;4.499638&lt;/D&gt;&lt;D xsi:type="xsd:double"&gt;9.676075&lt;/D&gt;&lt;D xsi:type="xsd:double"&gt;-1.4765799&lt;/D&gt;&lt;D xsi:type="xsd:double"&gt;-4.269642&lt;/D&gt;&lt;D xsi:type="xsd:double"&gt;-5.344266&lt;/D&gt;&lt;D xsi:type="xsd:double"&gt;-2.699083&lt;/D&gt;&lt;D xsi:type="xsd:double"&gt;-0.7981539&lt;/D&gt;&lt;D xsi:type="xsd:double"&gt;0.23581982&lt;/D&gt;&lt;D xsi:type="xsd:double"&gt;0.46856403&lt;/D&gt;&lt;D xsi:type="xsd:double"&gt;6.4064503&lt;/D&gt;&lt;D xsi:type="xsd:double"&gt;-10.007084&lt;/D&gt;&lt;D xsi:type="xsd:double"&gt;-6.813824&lt;/D&gt;&lt;D xsi:type="xsd:double"&gt;-17.362946&lt;/D&gt;&lt;D xsi:type="xsd:double"&gt;-10.459632&lt;/D&gt;&lt;/FQL&gt;&lt;FQL&gt;&lt;Q&gt;EIDO^FG_TOTAL_RETURNC(-10AY,0,AM)&lt;/Q&gt;&lt;R&gt;121&lt;/R&gt;&lt;C&gt;1&lt;/C&gt;&lt;D xsi:type="xsd:double"&gt;8.748781&lt;/D&gt;&lt;D xsi:type="xsd:double"&gt;1.2469649&lt;/D&gt;&lt;D xsi:type="xsd:double"&gt;-3.4211457&lt;/D&gt;&lt;D xsi:type="xsd:double"&gt;-4.1799545&lt;/D&gt;&lt;D xsi:type="xsd:double"&gt;2.957487&lt;/D&gt;&lt;D xsi:type="xsd:double"&gt;-3.163457&lt;/D&gt;&lt;D xsi:type="xsd:double"&gt;-0.55782795&lt;/D&gt;&lt;D xsi:type="xsd:double"&gt;2.9917717&lt;/D&gt;&lt;D xsi:type="xsd:double"&gt;-1.7066121&lt;/D&gt;&lt;D xsi:type="xsd:double"&gt;1.8840075&lt;/D&gt;&lt;D xsi:type="xsd:double"&gt;-5.3299484&lt;/D&gt;&lt;D xsi:type="xsd:double"&gt;-7.7748003&lt;/D&gt;&lt;D xsi:type="xsd:double"&gt;-1.9225955&lt;/D&gt;&lt;D xsi:type="xsd:double"&gt;-13.72801&lt;/D&gt;&lt;D xsi:type="xsd:double"&gt;-7.9562426&lt;/D&gt;&lt;D xsi:type="xsd:double"&gt;13.128042&lt;/D&gt;&lt;D xsi:type="xsd:double"&gt;0.09549856&lt;/D&gt;&lt;D xsi:type="xsd:double"&gt;-3.4828246&lt;/D&gt;&lt;D xsi:type="xsd:double"&gt;0.53670406&lt;/D&gt;&lt;D xsi:type="xsd:double"&gt;9.014773&lt;/D&gt;&lt;D xsi:type="xsd:double"&gt;8.3596945&lt;/D&gt;&lt;D xsi:type="xsd:double"&gt;0.50041676&lt;/D&gt;&lt;D xsi:type="xsd:double"&gt;-10.580915&lt;/D&gt;&lt;D xsi:type="xsd:double"&gt;7.0533633&lt;/D&gt;&lt;D xsi:type="xsd:double"&gt;11.289215&lt;/D&gt;&lt;D xsi:type="xsd:double"&gt;4.3700814&lt;/D&gt;&lt;D xsi:type="xsd:double"&gt;-2.8291225&lt;/D&gt;&lt;D xsi:type="xsd:double"&gt;3.2220483&lt;/D&gt;&lt;D xsi:type="xsd:double"&gt;-10.304624&lt;/D&gt;&lt;D xsi:type="xsd:double"&gt;-1.0062873&lt;/D&gt;&lt;D xsi:type="xsd:double"&gt;2.6546597&lt;/D&gt;&lt;D xsi:type="xsd:double"&gt;1.4869928&lt;/D&gt;&lt;D xsi:type="xsd:double"&gt;4.27351&lt;/D&gt;&lt;D xsi:type="xsd:double"&gt;0&lt;/D&gt;&lt;D xsi:type="xsd:double"&gt;6.908655&lt;/D&gt;&lt;D xsi:type="xsd:double"&gt;-0.98575354&lt;/D&gt;&lt;D xsi:type="xsd:double"&gt;1.1119723&lt;/D&gt;&lt;D xsi:type="xsd:double"&gt;0.07382631&lt;/D&gt;&lt;D xsi:type="xsd:double"&gt;-0.07377267&lt;/D&gt;&lt;D xsi:type="xsd:double"&gt;-1.8087864&lt;/D&gt;&lt;D xsi:type="xsd:double"&gt;2.0300746&lt;/D&gt;&lt;D xsi:type="xsd:double"&gt;0.7364154&lt;/D&gt;&lt;D xsi:type="xsd:double"&gt;8.934462&lt;/D&gt;&lt;D xsi:type="xsd:double"&gt;1.2100816&lt;/D&gt;&lt;D xsi:type="xsd:double"&gt;-9.631353&lt;/D&gt;&lt;D xsi:type="xsd:double"&gt;0.36751032&lt;/D&gt;&lt;D xsi:type="xsd:double"&gt;-13.365067&lt;/D&gt;&lt;D xsi:type="xsd:double"&gt;2.5630593&lt;/D&gt;&lt;D xsi:type="xsd:double"&gt;-2.812761&lt;/D&gt;&lt;D xsi:type="xsd:double"&gt;-1.2526929&lt;/D&gt;&lt;D xsi:type="xsd:double"&gt;-0.34995675&lt;/D&gt;&lt;D xsi:type="xsd:double"&gt;-4.6532097&lt;/D&gt;&lt;D xsi:type="xsd:double"&gt;10.497236&lt;/D&gt;&lt;D xsi:type="xsd:double"&gt;2.2372246&lt;/D&gt;&lt;D xsi:type="xsd:double"&gt;10.412418&lt;/D&gt;&lt;D xsi:type="xsd:double"&gt;-1.0724902&lt;/D&gt;&lt;D xsi:type="xsd:double"&gt;-2.2056103&lt;/D&gt;&lt;D xsi:type="xsd:double"&gt;1.9495368&lt;/D&gt;&lt;D xsi:type="xsd:double"&gt;-16.160477&lt;/D&gt;&lt;D xsi:type="xsd:double"&gt;16.767956&lt;/D&gt;&lt;D xsi:type="xsd:double"&gt;2.920556&lt;/D&gt;&lt;D xsi:type="xsd:double"&gt;-6.432086&lt;/D&gt;&lt;D xsi:type="xsd:double"&gt;1.4557242&lt;/D&gt;&lt;D xsi:type="xsd:double"&gt;-0.63770413&lt;/D&gt;&lt;D xsi:type="xsd:double"&gt;-0.88247657&lt;/D&gt;&lt;D xsi:type="xsd:double"&gt;2.8573632&lt;/D&gt;&lt;D xsi:type="xsd:double"&gt;4.6905756&lt;/D&gt;&lt;D xsi:type="xsd:double"&gt;-8.170181&lt;/D&gt;&lt;D xsi:type="xsd:double"&gt;-45.46945&lt;/D&gt;&lt;D xsi:type="xsd:double"&gt;17.819548&lt;/D&gt;&lt;D xsi:type="xsd:double"&gt;2.3612022&lt;/D&gt;&lt;D xsi:type="xsd:double"&gt;16.73503&lt;/D&gt;&lt;D xsi:type="xsd:double"&gt;1.618123&lt;/D&gt;&lt;D xsi:type="xsd:double"&gt;3.874731&lt;/D&gt;&lt;D xsi:type="xsd:double"&gt;-7.715893&lt;/D&gt;&lt;D xsi:type="xsd:double"&gt;1.9933581&lt;/D&gt;&lt;D xsi:type="xsd:double"&gt;17.915308&lt;/D&gt;&lt;D xsi:type="xsd:double"&gt;11.133122&lt;/D&gt;&lt;D xsi:type="xsd:double"&gt;0.7929921&lt;/D&gt;&lt;D xsi:type="xsd:double"&gt;-2.2360206&lt;/D&gt;&lt;D xsi:type="xsd:double"&gt;-1.1012316&lt;/D&gt;&lt;D xsi:type="xsd:double"&gt;-6.8094254&lt;/D&gt;&lt;D xsi:type="xsd:double"&gt;-3.5386026&lt;/D&gt;&lt;D xsi:type="xsd:double"&gt;-0.8034885&lt;/D&gt;&lt;D xsi:type="xsd:double"&gt;-3.866607&lt;/D&gt;&lt;D xsi:type="xsd:double"&gt;3.3685327&lt;/D&gt;&lt;D xsi:type="xsd:double"&gt;3.404677&lt;/D&gt;&lt;D xsi:type="xsd:double"&gt;16.27469&lt;/D&gt;&lt;D xsi:type="xsd:double"&gt;-4.1666627&lt;/D&gt;&lt;D xsi:type="xsd:double"&gt;-3.1192958&lt;/D&gt;&lt;D xsi:type="xsd:double"&gt;1.2724876&lt;/D&gt;&lt;D xsi:type="xsd:double"&gt;3.9861321&lt;/D&gt;&lt;D xsi:type="xsd:double"&gt;1.8333316&lt;/D&gt;&lt;D xsi:type="xsd:double"&gt;0.24549961&lt;/D&gt;&lt;D xsi:type="xsd:double"&gt;-3.4285724&lt;/D&gt;&lt;D xsi:type="xsd:double"&gt;-3.0471325&lt;/D&gt;&lt;D xsi:type="xsd:double"&gt;-2.2104323&lt;/D&gt;&lt;D xsi:type="xsd:double"&gt;6.7359805&lt;/D&gt;&lt;D xsi:type="xsd:double"&gt;4.235494&lt;/D&gt;&lt;D xsi:type="xsd:double"&gt;-7.761073&lt;/D&gt;&lt;D xsi:type="xsd:double"&gt;2.1585941&lt;/D&gt;&lt;D xsi:type="xsd:double"&gt;-0.90692043&lt;/D&gt;&lt;D xsi:type="xsd:double"&gt;0.21977425&lt;/D&gt;&lt;D xsi:type="xsd:double"&gt;1.666677&lt;/D&gt;&lt;D xsi:type="xsd:double"&gt;-5.0905943&lt;/D&gt;&lt;D xsi:type="xsd:double"&gt;8.000004&lt;/D&gt;&lt;D xsi:type="xsd:double"&gt;-0.7154882&lt;/D&gt;&lt;D xsi:type="xsd:double"&gt;0.42910576&lt;/D&gt;&lt;D xsi:type="xsd:double"&gt;1.378727&lt;/D&gt;&lt;D xsi:type="xsd:double"&gt;-3.1024277&lt;/D&gt;&lt;D xsi:type="xsd:double"&gt;0.21929741&lt;/D&gt;&lt;D xsi:type="xsd:double"&gt;-8.796501&lt;/D&gt;&lt;D xsi:type="xsd:double"&gt;3.790784&lt;/D&gt;&lt;D xsi:type="xsd:double"&gt;2.2191525&lt;/D&gt;&lt;D xsi:type="xsd:double"&gt;1.2643576&lt;/D&gt;&lt;D xsi:type="xsd:double"&gt;2.3863196&lt;/D&gt;&lt;D xsi:type="xsd:double"&gt;0.043976307&lt;/D&gt;&lt;D xsi:type="xsd:double"&gt;-8.659339&lt;/D&gt;&lt;D xsi:type="xsd:double"&gt;2.5023937&lt;/D&gt;&lt;D xsi:type="xsd:double"&gt;-10.674894&lt;/D&gt;&lt;D xsi:type="xsd:double"&gt;9.847665&lt;/D&gt;&lt;/FQL&gt;&lt;FQL&gt;&lt;Q&gt;CNYA^FMA_DIV_YLD(NTMA,-10AY,0,AM,"PORTAGG","MEANR")&lt;/Q&gt;&lt;R&gt;121&lt;/R&gt;&lt;C&gt;1&lt;/C&gt;&lt;D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xsi:type="xsd:double"&gt;2.21126905829419&lt;/D&gt;&lt;D xsi:type="xsd:double"&gt;2.17743146502752&lt;/D&gt;&lt;D xsi:type="xsd:double"&gt;2.26356051770177&lt;/D&gt;&lt;D xsi:type="xsd:double"&gt;2.27640919937348&lt;/D&gt;&lt;D xsi:type="xsd:double"&gt;2.216869648679&lt;/D&gt;&lt;D xsi:type="xsd:double"&gt;2.29781801421636&lt;/D&gt;&lt;D xsi:type="xsd:double"&gt;2.30474582556781&lt;/D&gt;&lt;D xsi:type="xsd:double"&gt;2.33066799162175&lt;/D&gt;&lt;D xsi:type="xsd:double"&gt;2.30674325090769&lt;/D&gt;&lt;D xsi:type="xsd:double"&gt;2.29444877639931&lt;/D&gt;&lt;D xsi:type="xsd:double"&gt;2.25073578159463&lt;/D&gt;&lt;D xsi:type="xsd:double"&gt;2.14514226807364&lt;/D&gt;&lt;D xsi:type="xsd:double"&gt;2.12687898970471&lt;/D&gt;&lt;D xsi:type="xsd:double"&gt;2.19250538034169&lt;/D&gt;&lt;D xsi:type="xsd:double"&gt;2.15046307215961&lt;/D&gt;&lt;D xsi:type="xsd:double"&gt;2.1432283206977&lt;/D&gt;&lt;D xsi:type="xsd:double"&gt;2.08229737011069&lt;/D&gt;&lt;D xsi:type="xsd:double"&gt;2.20198473436717&lt;/D&gt;&lt;D xsi:type="xsd:double"&gt;2.10950782349163&lt;/D&gt;&lt;D xsi:type="xsd:double"&gt;2.3249727774028&lt;/D&gt;&lt;D xsi:type="xsd:double"&gt;2.29942593309145&lt;/D&gt;&lt;D xsi:type="xsd:double"&gt;2.51368454363531&lt;/D&gt;&lt;D xsi:type="xsd:double"&gt;2.66772673044315&lt;/D&gt;&lt;D xsi:type="xsd:double"&gt;2.8403807972151&lt;/D&gt;&lt;D xsi:type="xsd:double"&gt;3.0735789453071&lt;/D&gt;&lt;D xsi:type="xsd:double"&gt;3.31511575369193&lt;/D&gt;&lt;D xsi:type="xsd:double"&gt;3.17746475627&lt;/D&gt;&lt;D xsi:type="xsd:double"&gt;3.38015345351265&lt;/D&gt;&lt;D xsi:type="xsd:double"&gt;3.18267350348731&lt;/D&gt;&lt;D xsi:type="xsd:double"&gt;3.29111857579144&lt;/D&gt;&lt;D xsi:type="xsd:double"&gt;3.21565450679857&lt;/D&gt;&lt;D xsi:type="xsd:double"&gt;2.9793319793392&lt;/D&gt;&lt;D xsi:type="xsd:double"&gt;2.75371955428646&lt;/D&gt;&lt;D xsi:type="xsd:double"&gt;2.60134924518308&lt;/D&gt;&lt;D xsi:type="xsd:double"&gt;2.88578435997909&lt;/D&gt;&lt;D xsi:type="xsd:double"&gt;2.75313236289604&lt;/D&gt;&lt;D xsi:type="xsd:double"&gt;2.72353078255035&lt;/D&gt;&lt;D xsi:type="xsd:double"&gt;2.74548201203067&lt;/D&gt;&lt;D xsi:type="xsd:double"&gt;2.65095158543053&lt;/D&gt;&lt;D xsi:type="xsd:double"&gt;2.7215432339078&lt;/D&gt;&lt;D xsi:type="xsd:double"&gt;2.74568954648352&lt;/D&gt;&lt;D xsi:type="xsd:double"&gt;2.48639892448193&lt;/D&gt;&lt;D xsi:type="xsd:double"&gt;2.42335800353454&lt;/D&gt;&lt;D xsi:type="xsd:double"&gt;2.44728528622106&lt;/D&gt;&lt;D xsi:type="xsd:double"&gt;2.71400564305096&lt;/D&gt;&lt;D xsi:type="xsd:double"&gt;2.46695386034959&lt;/D&gt;&lt;D xsi:type="xsd:double"&gt;2.3059026569742&lt;/D&gt;&lt;D xsi:type="xsd:double"&gt;2.16846301233414&lt;/D&gt;&lt;D xsi:type="xsd:double"&gt;1.97904540679047&lt;/D&gt;&lt;D xsi:type="xsd:double"&gt;1.9453759713695&lt;/D&gt;&lt;D xsi:type="xsd:double"&gt;1.92032183394592&lt;/D&gt;&lt;D xsi:type="xsd:double"&gt;1.95665409884839&lt;/D&gt;&lt;D xsi:type="xsd:double"&gt;1.93438351109119&lt;/D&gt;&lt;D xsi:type="xsd:double"&gt;1.84030231801111&lt;/D&gt;&lt;D xsi:type="xsd:double"&gt;1.70293858556546&lt;/D&gt;&lt;D xsi:type="xsd:double"&gt;1.6073329233783&lt;/D&gt;&lt;D xsi:type="xsd:double"&gt;1.90265034242744&lt;/D&gt;&lt;D xsi:type="xsd:double"&gt;1.91833681250961&lt;/D&gt;&lt;D xsi:type="xsd:double"&gt;1.8706653555024&lt;/D&gt;&lt;D xsi:type="xsd:double"&gt;1.86837967846437&lt;/D&gt;&lt;D xsi:type="xsd:double"&gt;1.85810832939781&lt;/D&gt;&lt;D xsi:type="xsd:double"&gt;1.99203948725715&lt;/D&gt;&lt;D xsi:type="xsd:double"&gt;1.98164477456643&lt;/D&gt;&lt;D xsi:type="xsd:double"&gt;1.98502005565736&lt;/D&gt;&lt;D xsi:type="xsd:double"&gt;1.9913780565226&lt;/D&gt;&lt;D xsi:type="xsd:double"&gt;1.96116520132181&lt;/D&gt;&lt;D xsi:type="xsd:double"&gt;2.08413004315154&lt;/D&gt;&lt;D xsi:type="xsd:double"&gt;2.18048676999801&lt;/D&gt;&lt;D xsi:type="xsd:double"&gt;2.35843757725859&lt;/D&gt;&lt;D xsi:type="xsd:double"&gt;2.44472054339455&lt;/D&gt;&lt;D xsi:type="xsd:double"&gt;2.46780546701225&lt;/D&gt;&lt;D xsi:type="xsd:double"&gt;2.30758323237797&lt;/D&gt;&lt;D xsi:type="xsd:double"&gt;2.35782804963924&lt;/D&gt;&lt;D xsi:type="xsd:double"&gt;2.39692734589419&lt;/D&gt;&lt;D xsi:type="xsd:double"&gt;2.58438915719735&lt;/D&gt;&lt;D xsi:type="xsd:double"&gt;2.6880035972607&lt;/D&gt;&lt;D xsi:type="xsd:double"&gt;2.60364318635298&lt;/D&gt;&lt;D xsi:type="xsd:double"&gt;2.53600560427661&lt;/D&gt;&lt;D xsi:type="xsd:double"&gt;2.38764030545341&lt;/D&gt;&lt;D xsi:type="xsd:double"&gt;2.44479308394177&lt;/D&gt;&lt;D xsi:type="xsd:double"&gt;2.53711437910792&lt;/D&gt;&lt;D xsi:type="xsd:double"&gt;2.43773997724299&lt;/D&gt;&lt;D xsi:type="xsd:double"&gt;2.54716183392018&lt;/D&gt;&lt;D xsi:type="xsd:double"&gt;2.50288463288722&lt;/D&gt;&lt;D xsi:type="xsd:double"&gt;2.59694178931782&lt;/D&gt;&lt;D xsi:type="xsd:double"&gt;2.62432378367513&lt;/D&gt;&lt;D xsi:type="xsd:double"&gt;2.62119752345201&lt;/D&gt;&lt;D xsi:type="xsd:double"&gt;2.78132691576246&lt;/D&gt;&lt;D xsi:type="xsd:double"&gt;2.69602662075744&lt;/D&gt;&lt;D xsi:type="xsd:double"&gt;2.83581601323758&lt;/D&gt;&lt;D xsi:type="xsd:double"&gt;2.91892591902043&lt;/D&gt;&lt;D xsi:type="xsd:double"&gt;2.83898872939374&lt;/D&gt;&lt;D xsi:type="xsd:double"&gt;2.73246900095953&lt;/D&gt;&lt;D xsi:type="xsd:double"&gt;2.81462993113896&lt;/D&gt;&lt;D xsi:type="xsd:double"&gt;2.78292346480002&lt;/D&gt;&lt;D xsi:type="xsd:double"&gt;2.96484088781802&lt;/D&gt;&lt;D xsi:type="xsd:double"&gt;3.07783646182811&lt;/D&gt;&lt;/FQL&gt;&lt;FQL&gt;&lt;Q&gt;EPOL^FMA_PE(LTMA,-10AY,0,AM,"PORTAGG","MEANR")&lt;/Q&gt;&lt;R&gt;121&lt;/R&gt;&lt;C&gt;1&lt;/C&gt;&lt;D xsi:type="xsd:double"&gt;14.7440601397061&lt;/D&gt;&lt;D xsi:type="xsd:double"&gt;14.9499763168774&lt;/D&gt;&lt;D xsi:type="xsd:double"&gt;14.9107223605272&lt;/D&gt;&lt;D xsi:type="xsd:double"&gt;14.5057026845708&lt;/D&gt;&lt;D xsi:type="xsd:double"&gt;14.5966343733453&lt;/D&gt;&lt;D xsi:type="xsd:double"&gt;14.3345629718459&lt;/D&gt;&lt;D xsi:type="xsd:double"&gt;14.0318595025236&lt;/D&gt;&lt;D xsi:type="xsd:double"&gt;19.0421949674721&lt;/D&gt;&lt;D xsi:type="xsd:double"&gt;20.0749031375835&lt;/D&gt;&lt;D xsi:type="xsd:double"&gt;19.7432817296314&lt;/D&gt;&lt;D xsi:type="xsd:double"&gt;19.1107079070092&lt;/D&gt;&lt;D xsi:type="xsd:double"&gt;17.8138263905489&lt;/D&gt;&lt;D xsi:type="xsd:double"&gt;17.1758147819495&lt;/D&gt;&lt;D xsi:type="xsd:double"&gt;15.8658377450145&lt;/D&gt;&lt;D xsi:type="xsd:double"&gt;14.8753615244983&lt;/D&gt;&lt;D xsi:type="xsd:double"&gt;14.0131777281487&lt;/D&gt;&lt;D xsi:type="xsd:double"&gt;12.7603785277853&lt;/D&gt;&lt;D xsi:type="xsd:double"&gt;11.2675641346133&lt;/D&gt;&lt;D xsi:type="xsd:double"&gt;10.5679201720891&lt;/D&gt;&lt;D xsi:type="xsd:double"&gt;12.1973359945874&lt;/D&gt;&lt;D xsi:type="xsd:double"&gt;12.3798005198921&lt;/D&gt;&lt;D xsi:type="xsd:double"&gt;12.4582308263516&lt;/D&gt;&lt;D xsi:type="xsd:double"&gt;12.0090204372846&lt;/D&gt;&lt;D xsi:type="xsd:double"&gt;11.8986176069343&lt;/D&gt;&lt;D xsi:type="xsd:double"&gt;11.9108259074642&lt;/D&gt;&lt;D xsi:type="xsd:double"&gt;12.2578892252716&lt;/D&gt;&lt;D xsi:type="xsd:double"&gt;12.0571174007042&lt;/D&gt;&lt;D xsi:type="xsd:double"&gt;12.4295601709067&lt;/D&gt;&lt;D xsi:type="xsd:double"&gt;12.2078972960465&lt;/D&gt;&lt;D xsi:type="xsd:double"&gt;13.6177849912337&lt;/D&gt;&lt;D xsi:type="xsd:double"&gt;14.1159673485921&lt;/D&gt;&lt;D xsi:type="xsd:double"&gt;16.1424623478321&lt;/D&gt;&lt;D xsi:type="xsd:double"&gt;15.6670629879934&lt;/D&gt;&lt;D xsi:type="xsd:double"&gt;15.3132600489073&lt;/D&gt;&lt;D xsi:type="xsd:double"&gt;15.0080117747038&lt;/D&gt;&lt;D xsi:type="xsd:double"&gt;14.7307952370956&lt;/D&gt;&lt;D xsi:type="xsd:double"&gt;14.5463183709042&lt;/D&gt;&lt;D xsi:type="xsd:double"&gt;14.2504415432464&lt;/D&gt;&lt;D xsi:type="xsd:double"&gt;13.9976467214358&lt;/D&gt;&lt;D xsi:type="xsd:double"&gt;13.3580578360117&lt;/D&gt;&lt;D xsi:type="xsd:double"&gt;12.7757892650921&lt;/D&gt;&lt;D xsi:type="xsd:double"&gt;12.4660585138648&lt;/D&gt;&lt;D xsi:type="xsd:double"&gt;13.1149051958614&lt;/D&gt;&lt;D xsi:type="xsd:double"&gt;12.1607282606849&lt;/D&gt;&lt;D xsi:type="xsd:double"&gt;11.6676830600178&lt;/D&gt;&lt;D xsi:type="xsd:double"&gt;11.8213419436862&lt;/D&gt;&lt;D xsi:type="xsd:double"&gt;11.6816643333133&lt;/D&gt;&lt;D xsi:type="xsd:double"&gt;11.3275749114819&lt;/D&gt;&lt;D xsi:type="xsd:double"&gt;11.3202009314041&lt;/D&gt;&lt;D xsi:type="xsd:double"&gt;11.5214622393347&lt;/D&gt;&lt;D xsi:type="xsd:double"&gt;11.4427535149353&lt;/D&gt;&lt;D xsi:type="xsd:double"&gt;11.311867770915&lt;/D&gt;&lt;D xsi:type="xsd:double"&gt;11.1949707202152&lt;/D&gt;&lt;D xsi:type="xsd:double"&gt;11.7495679242949&lt;/D&gt;&lt;D xsi:type="xsd:double"&gt;11.7723150218439&lt;/D&gt;&lt;D xsi:type="xsd:double"&gt;11.4478367205578&lt;/D&gt;&lt;D xsi:type="xsd:double"&gt;11.6187326093238&lt;/D&gt;&lt;D xsi:type="xsd:double"&gt;11.6595359848644&lt;/D&gt;&lt;D xsi:type="xsd:double"&gt;11.3150919460141&lt;/D&gt;&lt;D xsi:type="xsd:double"&gt;11.4956354801804&lt;/D&gt;&lt;D xsi:type="xsd:double"&gt;11.5790831174766&lt;/D&gt;&lt;D xsi:type="xsd:double"&gt;10.9155684419437&lt;/D&gt;&lt;D xsi:type="xsd:double"&gt;11.0757182198625&lt;/D&gt;&lt;D xsi:type="xsd:double"&gt;10.9181833431578&lt;/D&gt;&lt;D xsi:type="xsd:double"&gt;10.9973969573406&lt;/D&gt;&lt;D xsi:type="xsd:double"&gt;10.9365021354207&lt;/D&gt;&lt;D xsi:type="xsd:double"&gt;11.1894287380336&lt;/D&gt;&lt;D xsi:type="xsd:double"&gt;11.4010295484282&lt;/D&gt;&lt;D xsi:type="xsd:double"&gt;9.43501611107128&lt;/D&gt;&lt;D xsi:type="xsd:double"&gt;10.2350026753189&lt;/D&gt;&lt;D xsi:type="xsd:double"&gt;11.1584419056213&lt;/D&gt;&lt;D xsi:type="xsd:double"&gt;12.0864279480438&lt;/D&gt;&lt;D xsi:type="xsd:double"&gt;11.8939321850208&lt;/D&gt;&lt;D xsi:type="xsd:double"&gt;12.8087243601818&lt;/D&gt;&lt;D xsi:type="xsd:double"&gt;12.7143026648075&lt;/D&gt;&lt;D xsi:type="xsd:double"&gt;14.0507529418668&lt;/D&gt;&lt;D xsi:type="xsd:double"&gt;19.1638915301784&lt;/D&gt;&lt;D xsi:type="xsd:double"&gt;21.5571758343837&lt;/D&gt;&lt;D xsi:type="xsd:double"&gt;22.4030748079916&lt;/D&gt;&lt;D xsi:type="xsd:double"&gt;15.6322115077798&lt;/D&gt;&lt;D xsi:type="xsd:double"&gt;16.820782708253&lt;/D&gt;&lt;D xsi:type="xsd:double"&gt;16.3935792170609&lt;/D&gt;&lt;D xsi:type="xsd:double"&gt;16.2884828185379&lt;/D&gt;&lt;D xsi:type="xsd:double"&gt;15.7154821385463&lt;/D&gt;&lt;D xsi:type="xsd:double"&gt;14.7957403690863&lt;/D&gt;&lt;D xsi:type="xsd:double"&gt;14.2250201650124&lt;/D&gt;&lt;D xsi:type="xsd:double"&gt;13.7604588717401&lt;/D&gt;&lt;D xsi:type="xsd:double"&gt;13.9942885152424&lt;/D&gt;&lt;D xsi:type="xsd:double"&gt;12.676935396026&lt;/D&gt;&lt;D xsi:type="xsd:double"&gt;10.5524461947448&lt;/D&gt;&lt;D xsi:type="xsd:double"&gt;10.8837745896026&lt;/D&gt;&lt;D xsi:type="xsd:double"&gt;10.4758951834874&lt;/D&gt;&lt;D xsi:type="xsd:double"&gt;9.7964613138585&lt;/D&gt;&lt;D xsi:type="xsd:double"&gt;9.48352438970518&lt;/D&gt;&lt;D xsi:type="xsd:double"&gt;8.67099470000055&lt;/D&gt;&lt;D xsi:type="xsd:double"&gt;8.20732248477052&lt;/D&gt;&lt;D xsi:type="xsd:double"&gt;7.31790804204728&lt;/D&gt;&lt;D xsi:type="xsd:double"&gt;7.0441054661581&lt;/D&gt;&lt;D xsi:type="xsd:double"&gt;6.56980323833507&lt;/D&gt;&lt;D xsi:type="xsd:double"&gt;6.463295561942&lt;/D&gt;&lt;D xsi:type="xsd:double"&gt;6.1609067321499&lt;/D&gt;&lt;D xsi:type="xsd:double"&gt;5.89041711466303&lt;/D&gt;&lt;D xsi:type="xsd:double"&gt;6.20868670758258&lt;/D&gt;&lt;D xsi:type="xsd:double"&gt;5.48617661069264&lt;/D&gt;&lt;D xsi:type="xsd:double"&gt;5.94859963770654&lt;/D&gt;&lt;D xsi:type="xsd:double"&gt;6.09975388429032&lt;/D&gt;&lt;D xsi:type="xsd:double"&gt;6.25378758562233&lt;/D&gt;&lt;D xsi:type="xsd:double"&gt;6.63442344465798&lt;/D&gt;&lt;D xsi:type="xsd:double"&gt;7.11254526956164&lt;/D&gt;&lt;D xsi:type="xsd:double"&gt;6.75559748748255&lt;/D&gt;&lt;D xsi:type="xsd:double"&gt;6.88299192055316&lt;/D&gt;&lt;D xsi:type="xsd:double"&gt;7.34317330480831&lt;/D&gt;&lt;D xsi:type="xsd:double"&gt;7.4905205231439&lt;/D&gt;&lt;D xsi:type="xsd:double"&gt;8.97154524403899&lt;/D&gt;&lt;D xsi:type="xsd:double"&gt;8.43261049856245&lt;/D&gt;&lt;D xsi:type="xsd:double"&gt;8.97565417512157&lt;/D&gt;&lt;D xsi:type="xsd:double"&gt;8.91300221075515&lt;/D&gt;&lt;D xsi:type="xsd:double"&gt;8.82570205606942&lt;/D&gt;&lt;D xsi:type="xsd:double"&gt;9.05918212707378&lt;/D&gt;&lt;D xsi:type="xsd:double"&gt;9.08735530141306&lt;/D&gt;&lt;D xsi:type="xsd:double"&gt;9.17784780576198&lt;/D&gt;&lt;/FQL&gt;&lt;FQL&gt;&lt;Q&gt;WL-FDS^FG_PRICE_MAVG(0,,,,30)&lt;/Q&gt;&lt;R&gt;1&lt;/R&gt;&lt;C&gt;1&lt;/C&gt;&lt;D xsi:type="xsd:double"&gt;562.11334&lt;/D&gt;&lt;/FQL&gt;&lt;FQL&gt;&lt;Q&gt;UAE^FG_PRICE_MAVG(0,,,,200)&lt;/Q&gt;&lt;R&gt;1&lt;/R&gt;&lt;C&gt;1&lt;/C&gt;&lt;D xsi:type="xsd:double"&gt;14.471836&lt;/D&gt;&lt;/FQL&gt;&lt;FQL&gt;&lt;Q&gt;INDA^FG_PRICE_MAVG(0,,,,200)&lt;/Q&gt;&lt;R&gt;1&lt;/R&gt;&lt;C&gt;1&lt;/C&gt;&lt;D xsi:type="xsd:double"&gt;50.14885&lt;/D&gt;&lt;/FQL&gt;&lt;FQL&gt;&lt;Q&gt;KSA^FG_TOTAL_RETURNC(0,-6AM)&lt;/Q&gt;&lt;R&gt;1&lt;/R&gt;&lt;C&gt;1&lt;/C&gt;&lt;D xsi:type="xsd:double"&gt;0.89900494&lt;/D&gt;&lt;/FQL&gt;&lt;FQL&gt;&lt;Q&gt;UAE^FG_TOTAL_RETURNC(0,-3AM)&lt;/Q&gt;&lt;R&gt;1&lt;/R&gt;&lt;C&gt;1&lt;/C&gt;&lt;D xsi:type="xsd:double"&gt;2.8559566&lt;/D&gt;&lt;/FQL&gt;&lt;FQL&gt;&lt;Q&gt;EWY^P_PRICE(0)/P_PRICE_HIGH_PR(0,,,,,,"PRICE","INTRA","52W")&lt;/Q&gt;&lt;R&gt;1&lt;/R&gt;&lt;C&gt;1&lt;/C&gt;&lt;D xsi:type="xsd:double"&gt;0.93835866&lt;/D&gt;&lt;/FQL&gt;&lt;FQL&gt;&lt;Q&gt;EPU^FG_TOTAL_RETURNC(0,-1AM)&lt;/Q&gt;&lt;R&gt;1&lt;/R&gt;&lt;C&gt;1&lt;/C&gt;&lt;D xsi:type="xsd:double"&gt;1.7234921&lt;/D&gt;&lt;/FQL&gt;&lt;FQL&gt;&lt;Q&gt;ECH^PERCENT_CHANGE(FMA_EPS(+1,0,,,,"PORTAGG","MEAN"),FMA_EPS(+1,-3AM,,,,"PORTAGG","MEAN"))&lt;/Q&gt;&lt;R&gt;1&lt;/R&gt;&lt;C&gt;1&lt;/C&gt;&lt;D xsi:type="xsd:double"&gt;-6.31980545062285&lt;/D&gt;&lt;/FQL&gt;&lt;FQL&gt;&lt;Q&gt;SET-BKK^SIZE(FG_CONSTITUENTS)&lt;/Q&gt;&lt;R&gt;1&lt;/R&gt;&lt;C&gt;1&lt;/C&gt;&lt;D xsi:type="xsd:long"&gt;1&lt;/D&gt;&lt;/FQL&gt;&lt;FQL&gt;&lt;Q&gt;EWZ^SIZE(FG_CONSTITUENTS)&lt;/Q&gt;&lt;R&gt;1&lt;/R&gt;&lt;C&gt;1&lt;/C&gt;&lt;D xsi:type="xsd:long"&gt;51&lt;/D&gt;&lt;/FQL&gt;&lt;FQL&gt;&lt;Q&gt;EPOL^SIZE(FG_CONSTITUENTS)&lt;/Q&gt;&lt;R&gt;1&lt;/R&gt;&lt;C&gt;1&lt;/C&gt;&lt;D xsi:type="xsd:long"&gt;34&lt;/D&gt;&lt;/FQL&gt;&lt;FQL&gt;&lt;Q&gt;TUR^FMA_RBICS_REV_CURRENT(30, LOC, "PORTAGG")&lt;/Q&gt;&lt;R&gt;1&lt;/R&gt;&lt;C&gt;1&lt;/C&gt;&lt;D xsi:type="xsd:double"&gt;22.4907332005754&lt;/D&gt;&lt;/FQL&gt;&lt;FQL&gt;&lt;Q&gt;KSA^FG_ROE(0)&lt;/Q&gt;&lt;R&gt;1&lt;/R&gt;&lt;C&gt;1&lt;/C&gt;&lt;D xsi:type="xsd:double"&gt;11.0135462776468&lt;/D&gt;&lt;/FQL&gt;&lt;FQL&gt;&lt;Q&gt;EPHE^FG_ROE(0)&lt;/Q&gt;&lt;R&gt;1&lt;/R&gt;&lt;C&gt;1&lt;/C&gt;&lt;D xsi:type="xsd:double"&gt;12.4634516648619&lt;/D&gt;&lt;/FQL&gt;&lt;FQL&gt;&lt;Q&gt;TRYTW10Y-FDS^FG_YIELD_NAME&lt;/Q&gt;&lt;R&gt;1&lt;/R&gt;&lt;C&gt;1&lt;/C&gt;&lt;D xsi:type="xsd:string"&gt;Taiwan China Benchmark Bond - 10 Year&lt;/D&gt;&lt;/FQL&gt;&lt;FQL&gt;&lt;Q&gt;REFTR1WREPO-FDS^(SUBARRAY(NOT_NA(NO_REPEAT_F(FG_YIELD(NOW,-10AY,D))),0,1)-SUBARRAY(NOT_NA(NO_REPEAT_F(FG_YIELD(NOW,-10AY,D))),1,1))*100&lt;/Q&gt;&lt;R&gt;1&lt;/R&gt;&lt;C&gt;1&lt;/C&gt;&lt;D xsi:type="xsd:double"&gt;500&lt;/D&gt;&lt;/FQL&gt;&lt;FQL&gt;&lt;Q&gt;REFEUREFI-FDS^PROPER_NAME(0,,,"SECURITY","NAME")&lt;/Q&gt;&lt;R&gt;1&lt;/R&gt;&lt;C&gt;1&lt;/C&gt;&lt;D xsi:type="xsd:string"&gt;Eurozone Main Refinancing Operations Minimum Bid Rate&lt;/D&gt;&lt;/FQL&gt;&lt;FQL&gt;&lt;Q&gt;REFCNRMB-FDS^FG_YIELD(NOW,,,0)&lt;/Q&gt;&lt;R&gt;1&lt;/R&gt;&lt;C&gt;1&lt;/C&gt;&lt;D xsi:type="xsd:double"&gt;3.35&lt;/D&gt;&lt;/FQL&gt;&lt;FQL&gt;&lt;Q&gt;TRYIN10Y-FDS^PCTCHG(FG_YIELD(0,,,,"YTM"),FG_YIELD(-1AM,,,,"YTM"))&lt;/Q&gt;&lt;R&gt;1&lt;/R&gt;&lt;C&gt;1&lt;/C&gt;&lt;D xsi:type="xsd:double"&gt;-1.0364159&lt;/D&gt;&lt;/FQL&gt;&lt;FQL&gt;&lt;Q&gt;TRYPL10Y-FDS^PCTCHG(FG_YIELD(0,,,,"YTM"),FG_YIELD(-3AM,,,,"YTM"))&lt;/Q&gt;&lt;R&gt;1&lt;/R&gt;&lt;C&gt;1&lt;/C&gt;&lt;D xsi:type="xsd:double"&gt;-4.65836&lt;/D&gt;&lt;/FQL&gt;&lt;FQL&gt;&lt;Q&gt;TRYAE10Y-FDS^FG_YIELD_NAME&lt;/Q&gt;&lt;R&gt;1&lt;/R&gt;&lt;C&gt;1&lt;/C&gt;&lt;D xsi:type="xsd:string"&gt;Treasury - United Arab Emirates USD Benchmark Bond 10Y&lt;/D&gt;&lt;/FQL&gt;&lt;FQL&gt;&lt;Q&gt;TRYKR10Y-FDS^FG_YIELD(0,,,,"YTM")&lt;/Q&gt;&lt;R&gt;1&lt;/R&gt;&lt;C&gt;1&lt;/C&gt;&lt;D xsi:type="xsd:double"&gt;3.1523&lt;/D&gt;&lt;/FQL&gt;&lt;FQL&gt;&lt;Q&gt;TIPSCL10Y-FDS^FG_YIELD_NAME&lt;/Q&gt;&lt;R&gt;1&lt;/R&gt;&lt;C&gt;1&lt;/C&gt;&lt;D xsi:type="xsd:string"&gt;Treasury - Chile Inflation-Indexed (TIPS) Bond 10Y&lt;/D&gt;&lt;/FQL&gt;&lt;FQL&gt;&lt;Q&gt;CC_MY^IMF_IFS_RCPI_Q(0)&lt;/Q&gt;&lt;R&gt;0&lt;/R&gt;&lt;C&gt;0&lt;/C&gt;&lt;/FQL&gt;&lt;FQL&gt;&lt;Q&gt;VGK^FMA_DIV_YLD(NTMA,NOW,NOW,M,"PORTAGG","MEANR")&lt;/Q&gt;&lt;R&gt;1&lt;/R&gt;&lt;C&gt;1&lt;/C&gt;&lt;D xsi:type="xsd:double"&gt;3.44354713699091&lt;/D&gt;&lt;/FQL&gt;&lt;FQL&gt;&lt;Q&gt;VNM^JULIAN(FMA_DIV_YLD(NTMA,NOW,NOW,M,"PORTAGG","MEANR").DATES)&lt;/Q&gt;&lt;R&gt;1&lt;/R&gt;&lt;C&gt;1&lt;/C&gt;&lt;D xsi:type="xsd:long"&gt;45471&lt;/D&gt;&lt;/FQL&gt;&lt;FQL&gt;&lt;Q&gt;SET-BKK^FG_FCF_YIELD_NTM(0)&lt;/Q&gt;&lt;R&gt;1&lt;/R&gt;&lt;C&gt;1&lt;/C&gt;&lt;D xsi:type="xsd:double"&gt;4.45630630117417&lt;/D&gt;&lt;/FQL&gt;&lt;FQL&gt;&lt;Q&gt;MCHI^FMA_PE(LTM,0,,,"PORTAGG","MEANR")&lt;/Q&gt;&lt;R&gt;1&lt;/R&gt;&lt;C&gt;1&lt;/C&gt;&lt;D xsi:type="xsd:double"&gt;12.8016869610248&lt;/D&gt;&lt;/FQL&gt;&lt;FQL&gt;&lt;Q&gt;EZA^FMA_EVAL_EBITDA(NTMA,0,,,"PORTAGG","MEANR")&lt;/Q&gt;&lt;R&gt;1&lt;/R&gt;&lt;C&gt;1&lt;/C&gt;&lt;D xsi:type="xsd:double"&gt;7.48484898939412&lt;/D&gt;&lt;/FQL&gt;&lt;FQL&gt;&lt;Q&gt;EWY^FMA_PE(NTMA,0,,,"PORTAGG","MEANR")&lt;/Q&gt;&lt;R&gt;1&lt;/R&gt;&lt;C&gt;1&lt;/C&gt;&lt;D xsi:type="xsd:double"&gt;9.5626807818099&lt;/D&gt;&lt;/FQL&gt;&lt;FQL&gt;&lt;Q&gt;EWM^FMA_EVAL_EBIT(LTMA,NOW,NOW,M,"PORTAGG","MEANR")&lt;/Q&gt;&lt;R&gt;1&lt;/R&gt;&lt;C&gt;1&lt;/C&gt;&lt;D xsi:type="xsd:double"&gt;17.3018369656418&lt;/D&gt;&lt;/FQL&gt;&lt;FQL&gt;&lt;Q&gt;VNM^FG_COMPANY_NAME&lt;/Q&gt;&lt;R&gt;1&lt;/R&gt;&lt;C&gt;1&lt;/C&gt;&lt;D xsi:type="xsd:string"&gt;VanEck Vietnam ETF&lt;/D&gt;&lt;/FQL&gt;&lt;FQL&gt;&lt;Q&gt;EPHE^FG_COMPANY_NAME&lt;/Q&gt;&lt;R&gt;1&lt;/R&gt;&lt;C&gt;1&lt;/C&gt;&lt;D xsi:type="xsd:string"&gt;iShares MSCI Philippines ETF&lt;/D&gt;&lt;/FQL&gt;&lt;FQL&gt;&lt;Q&gt;REFCNRMB-FDS^PROPER_NAME(0,,,"SECURITY","NAME")&lt;/Q&gt;&lt;R&gt;1&lt;/R&gt;&lt;C&gt;1&lt;/C&gt;&lt;D xsi:type="xsd:string"&gt;China Loan Prime Rate (LPR) - 1 Year&lt;/D&gt;&lt;/FQL&gt;&lt;FQL&gt;&lt;Q&gt;TRYTR7Y-FDS^FG_YIELD(0,,,,"YTM")&lt;/Q&gt;&lt;R&gt;1&lt;/R&gt;&lt;C&gt;1&lt;/C&gt;&lt;D xsi:type="xsd:double"&gt;23.925453&lt;/D&gt;&lt;/FQL&gt;&lt;FQL&gt;&lt;Q&gt;TRYKR10Y-FDS^FG_YIELD_NAME&lt;/Q&gt;&lt;R&gt;1&lt;/R&gt;&lt;C&gt;1&lt;/C&gt;&lt;D xsi:type="xsd:string"&gt;South Korea Benchmark Bond - 10 Year&lt;/D&gt;&lt;/FQL&gt;&lt;FQL&gt;&lt;Q&gt;TRYCN10Y-FDS^FG_YIELD(0,,,,"YTM")&lt;/Q&gt;&lt;R&gt;1&lt;/R&gt;&lt;C&gt;1&lt;/C&gt;&lt;D xsi:type="xsd:double"&gt;2.269&lt;/D&gt;&lt;/FQL&gt;&lt;FQL&gt;&lt;Q&gt;VGK^FG_PE_NTM(0,,,90,0)&lt;/Q&gt;&lt;R&gt;1&lt;/R&gt;&lt;C&gt;1&lt;/C&gt;&lt;D xsi:type="xsd:double"&gt;13.4915688159165&lt;/D&gt;&lt;/FQL&gt;&lt;FQL&gt;&lt;Q&gt;UAE^FMA_EVAL_EBIT(LTMA,NOW,NOW,M,"PORTAGG","MEANR")&lt;/Q&gt;&lt;R&gt;1&lt;/R&gt;&lt;C&gt;1&lt;/C&gt;&lt;D xsi:type="xsd:double"&gt;9.3102330398094&lt;/D&gt;&lt;/FQL&gt;&lt;FQL&gt;&lt;Q&gt;SET-BKK^FMA_DIV_YLD(NTMA,NOW,NOW,M,"PORTAGG","MEANR")&lt;/Q&gt;&lt;R&gt;1&lt;/R&gt;&lt;C&gt;1&lt;/C&gt;&lt;D xsi:type="xsd:double"&gt;3.85804642737473&lt;/D&gt;&lt;/FQL&gt;&lt;FQL&gt;&lt;Q&gt;MCHI^JULIAN(FMA_DIV_YLD(NTMA,NOW,NOW,M,"PORTAGG","MEANR").DATES)&lt;/Q&gt;&lt;R&gt;1&lt;/R&gt;&lt;C&gt;1&lt;/C&gt;&lt;D xsi:type="xsd:long"&gt;45471&lt;/D&gt;&lt;/FQL&gt;&lt;FQL&gt;&lt;Q&gt;EZA^FG_FCF_YIELD_NTM(0)&lt;/Q&gt;&lt;R&gt;1&lt;/R&gt;&lt;C&gt;1&lt;/C&gt;&lt;D xsi:typ</t>
        </r>
      </text>
    </comment>
    <comment ref="A8" authorId="0" shapeId="0" xr:uid="{04143E15-3EE7-4639-8BAC-1CCB7E2CBBAF}">
      <text>
        <r>
          <rPr>
            <b/>
            <sz val="9"/>
            <color indexed="81"/>
            <rFont val="Tahoma"/>
            <charset val="1"/>
          </rPr>
          <t>e="xsd:double"&gt;8.38274915136869&lt;/D&gt;&lt;/FQL&gt;&lt;FQL&gt;&lt;Q&gt;EWY^FMA_PE(LTM,0,,,"PORTAGG","MEANR")&lt;/Q&gt;&lt;R&gt;1&lt;/R&gt;&lt;C&gt;1&lt;/C&gt;&lt;D xsi:type="xsd:double"&gt;17.9154919967426&lt;/D&gt;&lt;/FQL&gt;&lt;FQL&gt;&lt;Q&gt;EPOL^FMA_PE(LTM,0,,,"PORTAGG","MEANR")&lt;/Q&gt;&lt;R&gt;1&lt;/R&gt;&lt;C&gt;1&lt;/C&gt;&lt;D xsi:type="xsd:double"&gt;8.89969846077958&lt;/D&gt;&lt;/FQL&gt;&lt;FQL&gt;&lt;Q&gt;UAE^FG_COMPANY_NAME&lt;/Q&gt;&lt;R&gt;1&lt;/R&gt;&lt;C&gt;1&lt;/C&gt;&lt;D xsi:type="xsd:string"&gt;iShares MSCI UAE ETF&lt;/D&gt;&lt;/FQL&gt;&lt;FQL&gt;&lt;Q&gt;URTH^FMA_PCT_ABOVE_MAVG(200,0,,,,"PORTAGG")&lt;/Q&gt;&lt;R&gt;1&lt;/R&gt;&lt;C&gt;1&lt;/C&gt;&lt;D xsi:type="xsd:double"&gt;72.4403927068724&lt;/D&gt;&lt;/FQL&gt;&lt;FQL&gt;&lt;Q&gt;CNYA^FG_ROE(0)&lt;/Q&gt;&lt;R&gt;1&lt;/R&gt;&lt;C&gt;1&lt;/C&gt;&lt;D xsi:type="xsd:double"&gt;10.0106182287452&lt;/D&gt;&lt;/FQL&gt;&lt;FQL&gt;&lt;Q&gt;TRYZA10Y-FDS^PCTCHG(FG_YIELD(0,,,,"YTM"),FG_YIELD(-3AM,,,,"YTM"))&lt;/Q&gt;&lt;R&gt;1&lt;/R&gt;&lt;C&gt;1&lt;/C&gt;&lt;D xsi:type="xsd:double"&gt;-10.700974&lt;/D&gt;&lt;/FQL&gt;&lt;FQL&gt;&lt;Q&gt;TRYTH10Y-FDS^FG_YIELD(0,,,,"YTM")&lt;/Q&gt;&lt;R&gt;1&lt;/R&gt;&lt;C&gt;1&lt;/C&gt;&lt;D xsi:type="xsd:double"&gt;2.6026&lt;/D&gt;&lt;/FQL&gt;&lt;FQL&gt;&lt;Q&gt;VGK^JULIAN(FMA_DIV_YLD(NTMA,NOW,NOW,M,"PORTAGG","MEANR").DATES)&lt;/Q&gt;&lt;R&gt;1&lt;/R&gt;&lt;C&gt;1&lt;/C&gt;&lt;D xsi:type="xsd:long"&gt;45443&lt;/D&gt;&lt;/FQL&gt;&lt;FQL&gt;&lt;Q&gt;INDA^FMA_EVAL_EBITDA(NTMA,0,,,"PORTAGG","MEANR")&lt;/Q&gt;&lt;R&gt;1&lt;/R&gt;&lt;C&gt;1&lt;/C&gt;&lt;D xsi:type="xsd:double"&gt;16.0274084191397&lt;/D&gt;&lt;/FQL&gt;&lt;FQL&gt;&lt;Q&gt;EWM^FMA_PE(NTMA,0,,,"PORTAGG","MEANR")&lt;/Q&gt;&lt;R&gt;1&lt;/R&gt;&lt;C&gt;1&lt;/C&gt;&lt;D xsi:type="xsd:double"&gt;14.3076503978871&lt;/D&gt;&lt;/FQL&gt;&lt;FQL&gt;&lt;Q&gt;CNYA^FG_COMPANY_NAME&lt;/Q&gt;&lt;R&gt;1&lt;/R&gt;&lt;C&gt;1&lt;/C&gt;&lt;D xsi:type="xsd:string"&gt;iShares MSCI China A ETF&lt;/D&gt;&lt;/FQL&gt;&lt;FQL&gt;&lt;Q&gt;EWM^FMA_PE(LTM,0,,,"PORTAGG","MEANR")&lt;/Q&gt;&lt;R&gt;1&lt;/R&gt;&lt;C&gt;1&lt;/C&gt;&lt;D xsi:type="xsd:double"&gt;18.2875977055292&lt;/D&gt;&lt;/FQL&gt;&lt;FQL&gt;&lt;Q&gt;EZA^PERCENT_CHANGE(FMA_EPS(+1,0,,,,"PORTAGG","MEAN"),FMA_EPS(+1,-3AM,,,,"PORTAGG","MEAN"))&lt;/Q&gt;&lt;R&gt;1&lt;/R&gt;&lt;C&gt;1&lt;/C&gt;&lt;D xsi:type="xsd:double"&gt;0.175991061412792&lt;/D&gt;&lt;/FQL&gt;&lt;FQL&gt;&lt;Q&gt;CAGDPY@MX^EE_ACTUAL_ANNUAL(MED,0)&lt;/Q&gt;&lt;R&gt;1&lt;/R&gt;&lt;C&gt;1&lt;/C&gt;&lt;D xsi:type="xsd:double"&gt;-0.4575&lt;/D&gt;&lt;/FQL&gt;&lt;FQL&gt;&lt;Q&gt;USDZAR^STD(FG_PRICE_CHANGE(0,-3AY,M))&lt;/Q&gt;&lt;R&gt;1&lt;/R&gt;&lt;C&gt;1&lt;/C&gt;&lt;D xsi:type="xsd:double"&gt;3.88632112712936&lt;/D&gt;&lt;/FQL&gt;&lt;FQL&gt;&lt;Q&gt;USDMXN^FG_PRICE_CHANGE(0,-1AY)&lt;/Q&gt;&lt;R&gt;1&lt;/R&gt;&lt;C&gt;1&lt;/C&gt;&lt;D xsi:type="xsd:double"&gt;6.8467855&lt;/D&gt;&lt;/FQL&gt;&lt;FQL&gt;&lt;Q&gt;ECH^FG_TOTAL_RETURNC(-10AY,0,AM)&lt;/Q&gt;&lt;R&gt;121&lt;/R&gt;&lt;C&gt;1&lt;/C&gt;&lt;D xsi:type="xsd:double"&gt;-0.74132085&lt;/D&gt;&lt;D xsi:type="xsd:double"&gt;-3.2522142&lt;/D&gt;&lt;D xsi:type="xsd:double"&gt;-2.2638857&lt;/D&gt;&lt;D xsi:type="xsd:double"&gt;-4.0243387&lt;/D&gt;&lt;D xsi:type="xsd:double"&gt;3.169179&lt;/D&gt;&lt;D xsi:type="xsd:double"&gt;-6.906289&lt;/D&gt;&lt;D xsi:type="xsd:double"&gt;-4.2958794&lt;/D&gt;&lt;D xsi:type="xsd:double"&gt;8.818054&lt;/D&gt;&lt;D xsi:type="xsd:double"&gt;-5.85795&lt;/D&gt;&lt;D xsi:type="xsd:double"&gt;9.541094&lt;/D&gt;&lt;D xsi:type="xsd:double"&gt;1.9171596&lt;/D&gt;&lt;D xsi:type="xsd:double"&gt;-9.939623&lt;/D&gt;&lt;D xsi:type="xsd:double"&gt;-0.934124&lt;/D&gt;&lt;D xsi:type="xsd:double"&gt;-10.459584&lt;/D&gt;&lt;D xsi:type="xsd:double"&gt;3.1858325&lt;/D&gt;&lt;D xsi:type="xsd:double"&gt;0.14293194&lt;/D&gt;&lt;D xsi:type="xsd:double"&gt;-4.881525&lt;/D&gt;&lt;D xsi:type="xsd:double"&gt;-3.511399&lt;/D&gt;&lt;D xsi:type="xsd:double"&gt;-7.1041822&lt;/D&gt;&lt;D xsi:type="xsd:double"&gt;13.407254&lt;/D&gt;&lt;D xsi:type="xsd:double"&gt;8.533335&lt;/D&gt;&lt;D xsi:type="xsd:double"&gt;3.6036015&lt;/D&gt;&lt;D xsi:type="xsd:double"&gt;-7.6943398&lt;/D&gt;&lt;D xsi:type="xsd:double"&gt;3.0545235&lt;/D&gt;&lt;D xsi:type="xsd:double"&gt;8.949244&lt;/D&gt;&lt;D xsi:type="xsd:double"&gt;-1.3727009&lt;/D&gt;&lt;D xsi:type="xsd:double"&gt;-5.0157666&lt;/D&gt;&lt;D xsi:type="xsd:double"&gt;7.492411&lt;/D&gt;&lt;D xsi:type="xsd:double"&gt;-4.578197&lt;/D&gt;&lt;D xsi:type="xsd:double"&gt;0.64690113&lt;/D&gt;&lt;D xsi:type="xsd:double"&gt;3.8712263&lt;/D&gt;&lt;D xsi:type="xsd:double"&gt;5.0812483&lt;/D&gt;&lt;D xsi:type="xsd:double"&gt;3.8537025&lt;/D&gt;&lt;D xsi:type="xsd:double"&gt;5.1997066&lt;/D&gt;&lt;D xsi:type="xsd:double"&gt;-3.6620915&lt;/D&gt;&lt;D xsi:type="xsd:double"&gt;1.2593269&lt;/D&gt;&lt;D xsi:type="xsd:double"&gt;5.8395147&lt;/D&gt;&lt;D xsi:type="xsd:double"&gt;2.2119045&lt;/D&gt;&lt;D xsi:type="xsd:double"&gt;6.016016&lt;/D&gt;&lt;D xsi:type="xsd:double"&gt;4.347825&lt;/D&gt;&lt;D xsi:type="xsd:double"&gt;-2.0931125&lt;/D&gt;&lt;D xsi:type="xsd:double"&gt;3.7246943&lt;/D&gt;&lt;D xsi:type="xsd:double"&gt;7.3363423&lt;/D&gt;&lt;D xsi:type="xsd:double"&gt;-1.9579589&lt;/D&gt;&lt;D xsi:type="xsd:double"&gt;-3.8292408&lt;/D&gt;&lt;D xsi:type="xsd:double"&gt;5.6582212&lt;/D&gt;&lt;D xsi:type="xsd:double"&gt;-6.8517866&lt;/D&gt;&lt;D xsi:type="xsd:double"&gt;-5.980718&lt;/D&gt;&lt;D xsi:type="xsd:double"&gt;-3.6516309&lt;/D&gt;&lt;D xsi:type="xsd:double"&gt;-3.9860547&lt;/D&gt;&lt;D xsi:type="xsd:double"&gt;3.2894611&lt;/D&gt;&lt;D xsi:type="xsd:double"&gt;-6.720841&lt;/D&gt;&lt;D xsi:type="xsd:double"&gt;3.0845284&lt;/D&gt;&lt;D xsi:type="xsd:double"&gt;-5.0691185&lt;/D&gt;&lt;D xsi:type="xsd:double"&gt;10.57831&lt;/D&gt;&lt;D xsi:type="xsd:double"&gt;0.43582916&lt;/D&gt;&lt;D xsi:type="xsd:double"&gt;-3.0483782&lt;/D&gt;&lt;D xsi:type="xsd:double"&gt;-0.5482912&lt;/D&gt;&lt;D xsi:type="xsd:double"&gt;-10.688567&lt;/D&gt;&lt;D xsi:type="xsd:double"&gt;1.9931078&lt;/D&gt;&lt;D xsi:type="xsd:double"&gt;0.4531741&lt;/D&gt;&lt;D xsi:type="xsd:double"&gt;-8.997494&lt;/D&gt;&lt;D xsi:type="xsd:double"&gt;4.7920585&lt;/D&gt;&lt;D xsi:type="xsd:double"&gt;2.943492&lt;/D&gt;&lt;D xsi:type="xsd:double"&gt;-16.236908&lt;/D&gt;&lt;D xsi:type="xsd:double"&gt;2.570498&lt;/D&gt;&lt;D xsi:type="xsd:double"&gt;0.3275633&lt;/D&gt;&lt;D xsi:type="xsd:double"&gt;-10.181057&lt;/D&gt;&lt;D xsi:type="xsd:double"&gt;-36.285526&lt;/D&gt;&lt;D xsi:type="xsd:double"&gt;23.858917&lt;/D&gt;&lt;D xsi:type="xsd:double"&gt;2.0519376&lt;/D&gt;&lt;D xsi:type="xsd:double"&gt;6.8457007&lt;/D&gt;&lt;D xsi:type="xsd:double"&gt;3.5238862&lt;/D&gt;&lt;D xsi:type="xsd:double"&gt;0.1891017&lt;/D&gt;&lt;D xsi:type="xsd:double"&gt;-6.2287626&lt;/D&gt;&lt;D xsi:type="xsd:double"&gt;-3.2206059&lt;/D&gt;&lt;D xsi:type="xsd:double"&gt;13.685524&lt;/D&gt;&lt;D xsi:type="xsd:double"&gt;9.309757&lt;/D&gt;&lt;D xsi:type="xsd:double"&gt;7.1668983&lt;/D&gt;&lt;D xsi:type="xsd:double"&gt;4.1130304&lt;/D&gt;&lt;D xsi:type="xsd:double"&gt;3.4378767&lt;/D&gt;&lt;D xsi:type="xsd:double"&gt;4.373181&lt;/D&gt;&lt;D xsi:type="xsd:double"&gt;-20.78212&lt;/D&gt;&lt;D xsi:type="xsd:double"&gt;1.1256337&lt;/D&gt;&lt;D xsi:type="xsd:double"&gt;-3.014183&lt;/D&gt;&lt;D xsi:type="xsd:double"&gt;-1.828152&lt;/D&gt;&lt;D xsi:type="xsd:double"&gt;1.5642405&lt;/D&gt;&lt;D xsi:type="xsd:double"&gt;-11.477816&lt;/D&gt;&lt;D xsi:type="xsd:double"&gt;5.426681&lt;/D&gt;&lt;D xsi:type="xsd:double"&gt;-2.201879&lt;/D&gt;&lt;D xsi:type="xsd:double"&gt;5.9449673&lt;/D&gt;&lt;D xsi:type="xsd:double"&gt;1.2142539&lt;/D&gt;&lt;D xsi:type="xsd:double"&gt;8.939624&lt;/D&gt;&lt;D xsi:type="xsd:double"&gt;-1.0657191&lt;/D&gt;&lt;D xsi:type="xsd:double"&gt;0.32316446&lt;/D&gt;&lt;D xsi:type="xsd:double"&gt;-4.0293217&lt;/D&gt;&lt;D xsi:type="xsd:double"&gt;-2.9092312&lt;/D&gt;&lt;D xsi:type="xsd:double"&gt;2.676785&lt;/D&gt;&lt;D xsi:type="xsd:double"&gt;6.0700417&lt;/D&gt;&lt;D xsi:type="xsd:double"&gt;-12.802643&lt;/D&gt;&lt;D xsi:type="xsd:double"&gt;5.8056355&lt;/D&gt;&lt;D xsi:type="xsd:double"&gt;3.7969232&lt;/D&gt;&lt;D xsi:type="xsd:double"&gt;7.2298646&lt;/D&gt;&lt;D xsi:type="xsd:double"&gt;7.2737217&lt;/D&gt;&lt;D xsi:type="xsd:double"&gt;-8.761745&lt;/D&gt;&lt;D xsi:type="xsd:double"&gt;9.284914&lt;/D&gt;&lt;D xsi:type="xsd:double"&gt;2.500856&lt;/D&gt;&lt;D xsi:type="xsd:double"&gt;1.9708276&lt;/D&gt;&lt;D xsi:type="xsd:double"&gt;8.963871&lt;/D&gt;&lt;D xsi:type="xsd:double"&gt;-11.542064&lt;/D&gt;&lt;D xsi:type="xsd:double"&gt;-4.349369&lt;/D&gt;&lt;D xsi:type="xsd:double"&gt;-9.94454&lt;/D&gt;&lt;D xsi:type="xsd:double"&gt;6.8965554&lt;/D&gt;&lt;D xsi:type="xsd:double"&gt;8.333325&lt;/D&gt;&lt;D xsi:type="xsd:double"&gt;-8.489836&lt;/D&gt;&lt;D xsi:type="xsd:double"&gt;-0.27290583&lt;/D&gt;&lt;D xsi:type="xsd:double"&gt;2.6583314&lt;/D&gt;&lt;D xsi:type="xsd:double"&gt;-0.038081408&lt;/D&gt;&lt;D xsi:type="xsd:double"&gt;11.352385&lt;/D&gt;&lt;D xsi:type="xsd:double"&gt;-7.375169&lt;/D&gt;&lt;D xsi:type="xsd:double"&gt;-0.56839585&lt;/D&gt;&lt;/FQL&gt;&lt;FQL&gt;&lt;Q&gt;ECH^FMA_PE(NTMA,-10AY,0,AM,"PORTAGG","MEANR")&lt;/Q&gt;&lt;R&gt;121&lt;/R&gt;&lt;C&gt;1&lt;/C&gt;&lt;D xsi:type="xsd:double"&gt;14.7368644850797&lt;/D&gt;&lt;D xsi:type="xsd:double"&gt;14.578356511227&lt;/D&gt;&lt;D xsi:type="xsd:double"&gt;14.7346555080393&lt;/D&gt;&lt;D xsi:type="xsd:double"&gt;13.5806858426752&lt;/D&gt;&lt;D xsi:type="xsd:double"&gt;14.4762094955827&lt;/D&gt;&lt;D xsi:type="xsd:double"&gt;13.4385294361625&lt;/D&gt;&lt;D xsi:type="xsd:double"&gt;12.5753230334163&lt;/D&gt;&lt;D xsi:type="xsd:double"&gt;13.5396175091872&lt;/D&gt;&lt;D xsi:type="xsd:double"&gt;13.111768735684&lt;/D&gt;&lt;D xsi:type="xsd:double"&gt;13.8677396297691&lt;/D&gt;&lt;D xsi:type="xsd:double"&gt;14.2481696528679&lt;/D&gt;&lt;D xsi:type="xsd:double"&gt;13.5528263523926&lt;/D&gt;&lt;D xsi:type="xsd:double"&gt;12.7734638523555&lt;/D&gt;&lt;D xsi:type="xsd:double"&gt;12.5550570836332&lt;/D&gt;&lt;D xsi:type="xsd:double"&gt;12.6526238545568&lt;/D&gt;&lt;D xsi:type="xsd:double"&gt;12.8232042818633&lt;/D&gt;&lt;D xsi:type="xsd:double"&gt;13.6352042716464&lt;/D&gt;&lt;D xsi:type="xsd:double"&gt;12.4852486540555&lt;/D&gt;&lt;D xsi:type="xsd:double"&gt;11.594059475077&lt;/D&gt;&lt;D xsi:type="xsd:double"&gt;12.4754154525407&lt;/D&gt;&lt;D xsi:type="xsd:double"&gt;13.1840699894881&lt;/D&gt;&lt;D xsi:type="xsd:double"&gt;13.5887138532345&lt;/D&gt;&lt;D xsi:type="xsd:double"&gt;13.5357237934172&lt;/D&gt;&lt;D xsi:type="xsd:double"&gt;13.7099739363254&lt;/D&gt;&lt;D xsi:type="xsd:double"&gt;15.266998632894&lt;/D&gt;&lt;D xsi:type="xsd:double"&gt;15.662835622617&lt;/D&gt;&lt;D xsi:type="xsd:double"&gt;15.3098653824796&lt;/D&gt;&lt;D xsi:type="xsd:double"&gt;16.5105654236282&lt;/D&gt;&lt;D xsi:type="xsd:double"&gt;15.9548406205033&lt;/D&gt;&lt;D xsi:type="xsd:double"&gt;15.6304460202414&lt;/D&gt;&lt;D xsi:type="xsd:double"&gt;15.6704142348647&lt;/D&gt;&lt;D xsi:type="xsd:double"&gt;16.069168147163&lt;/D&gt;&lt;D xsi:type="xsd:double"&gt;16.5051958985177&lt;/D&gt;&lt;D xsi:type="xsd:double"&gt;17.3253299259999&lt;/D&gt;&lt;D xsi:type="xsd:double"&gt;17.2422249271197&lt;/D&gt;&lt;D xsi:type="xsd:double"&gt;17.1320070805832&lt;/D&gt;&lt;D xsi:type="xsd:double"&gt;17.7163003925311&lt;/D&gt;&lt;D xsi:type="xsd:double"&gt;18.1174249178087&lt;/D&gt;&lt;D xsi:type="xsd:double"&gt;18.9028331991228&lt;/D&gt;&lt;D xsi:type="xsd:double"&gt;15.3145447827853&lt;/D&gt;&lt;D xsi:type="xsd:double"&gt;14.0315338900356&lt;/D&gt;&lt;D xsi:type="xsd:double"&gt;14.271424781857&lt;/D&gt;&lt;D xsi:type="xsd:double"&gt;14.7270921428427&lt;/D&gt;&lt;D xsi:type="xsd:double"&gt;14.231952067522&lt;/D&gt;&lt;D xsi:type="xsd:double"&gt;13.8084472270025&lt;/D&gt;&lt;D xsi:type="xsd:double"&gt;14.0236696538045&lt;/D&gt;&lt;D xsi:type="xsd:double"&gt;13.179023948407&lt;/D&gt;&lt;D xsi:type="xsd:double"&gt;11.9836346172742&lt;/D&gt;&lt;D xsi:type="xsd:double"&gt;11.9106341816039&lt;/D&gt;&lt;D xsi:type="xsd:double"&gt;11.6411822874633&lt;/D&gt;&lt;D xsi:type="xsd:double"&gt;12.0582542953469&lt;/D&gt;&lt;D xsi:type="xsd:double"&gt;15.0384924960758&lt;/D&gt;&lt;D xsi:type="xsd:double"&gt;15.1160572243821&lt;/D&gt;&lt;D xsi:type="xsd:double"&gt;14.5477366152771&lt;/D&gt;&lt;D xsi:type="xsd:double"&gt;15.772756421814&lt;/D&gt;&lt;D xsi:type="xsd:double"&gt;15.7715140303219&lt;/D&gt;&lt;D xsi:type="xsd:double"&gt;15.3777698705276&lt;/D&gt;&lt;D xsi:type="xsd:double"&gt;14.9971785616152&lt;/D&gt;&lt;D xsi:type="xsd:double"&gt;14.0430244522927&lt;/D&gt;&lt;D xsi:type="xsd:double"&gt;14.6442490050372&lt;/D&gt;&lt;D xsi:type="xsd:double"&gt;15.1200185385315&lt;/D&gt;&lt;D xsi:type="xsd:double"&gt;13.667778183058&lt;/D&gt;&lt;D xsi:type="xsd:double"&gt;15.2670037032409&lt;/D&gt;&lt;D xsi:type="xsd:double"&gt;15.6493848416974&lt;/D&gt;&lt;D xsi:type="xsd:double"&gt;14.1772274501168&lt;/D&gt;&lt;D xsi:type="xsd:double"&gt;13.5387713656164&lt;/D&gt;&lt;D xsi:type="xsd:double"&gt;13.985696638624&lt;/D&gt;&lt;D xsi:type="xsd:double"&gt;12.7585433984834&lt;/D&gt;&lt;D xsi:type="xsd:double"&gt;8.67260690958509&lt;/D&gt;&lt;D xsi:type="xsd:double"&gt;11.1543327223632&lt;/D&gt;&lt;D xsi:type="xsd:double"&gt;12.785334924826&lt;/D&gt;&lt;D xsi:type="xsd:double"&gt;14.7156993231899&lt;/D&gt;&lt;D xsi:type="xsd:double"&gt;14.8657337919573&lt;/D&gt;&lt;D xsi:type="xsd:double"&gt;16.0379604184476&lt;/D&gt;&lt;D xsi:type="xsd:double"&gt;14.4088126228677&lt;/D&gt;&lt;D xsi:type="xsd:double"&gt;13.7859848231244&lt;/D&gt;&lt;D xsi:type="xsd:double"&gt;14.7444409523299&lt;/D&gt;&lt;D xsi:type="xsd:double"&gt;14.0874692973831&lt;/D&gt;&lt;D xsi:type="xsd:double"&gt;15.118046197981&lt;/D&gt;&lt;D xsi:type="xsd:double"&gt;14.5928283822617&lt;/D&gt;&lt;D xsi:type="xsd:double"&gt;14.8139612895117&lt;/D&gt;&lt;D xsi:type="xsd:double"&gt;13.9641430871709&lt;/D&gt;&lt;D xsi:type="xsd:double"&gt;10.9857808203144&lt;/D&gt;&lt;D xsi:type="xsd:double"&gt;11.2624654593054&lt;/D&gt;&lt;D xsi:type="xsd:double"&gt;10.5854159940999&lt;/D&gt;&lt;D xsi:type="xsd:double"&gt;10.0065329265096&lt;/D&gt;&lt;D xsi:type="xsd:double"&gt;10.2725740790329&lt;/D&gt;&lt;D xsi:type="xsd:double"&gt;9.10325868893353&lt;/D&gt;&lt;D xsi:type="xsd:double"&gt;9.39429784513883&lt;/D&gt;&lt;D xsi:type="xsd:double"&gt;9.60718607067426&lt;/D&gt;&lt;D xsi:type="xsd:double"&gt;9.72486337287856&lt;/D&gt;&lt;D xsi:type="xsd:double"&gt;9.95959542751371&lt;/D&gt;&lt;D xsi:type="xsd:double"&gt;9.62106419323552&lt;/D&gt;&lt;D xsi:type="xsd:double"&gt;9.55268057289022&lt;/D&gt;&lt;D xsi:type="xsd:double"&gt;8.80660219026946&lt;/D&gt;&lt;D xsi:type="xsd:double"&gt;6.63927553063909&lt;/D&gt;&lt;D xsi:type="xsd:double"&gt;6.55782768639257&lt;/D&gt;&lt;D xsi:type="xsd:double"&gt;6.46297192382619&lt;/D&gt;&lt;D xsi:type="xsd:double"&gt;7.68071321060954&lt;/D&gt;&lt;D xsi:type="xsd:double"&gt;7.18609817301005&lt;/D&gt;&lt;D xsi:type="xsd:double"&gt;6.88637781909025&lt;/D&gt;&lt;D xsi:type="xsd:double"&gt;7.22700764532076&lt;/D&gt;&lt;D xsi:type="xsd:double"&gt;7.31028887759237&lt;/D&gt;&lt;D xsi:type="xsd:double"&gt;7.857837641096&lt;/D&gt;&lt;D xsi:type="xsd:double"&gt;7.29051050821999&lt;/D&gt;&lt;D xsi:type="xsd:double"&gt;7.87912805717834&lt;/D&gt;&lt;D xsi:type="xsd:double"&gt;8.5556399699721&lt;/D&gt;&lt;D xsi:type="xsd:double"&gt;8.41642539804488&lt;/D&gt;&lt;D xsi:type="xsd:double"&gt;9.41844259175372&lt;/D&gt;&lt;D xsi:type="xsd:double"&gt;9.11373685795151&lt;/D&gt;&lt;D xsi:type="xsd:double"&gt;8.89276335241554&lt;/D&gt;&lt;D xsi:type="xsd:double"&gt;8.52476854719279&lt;/D&gt;&lt;D xsi:type="xsd:double"&gt;8.75246144397949&lt;/D&gt;&lt;D xsi:type="xsd:double"&gt;8.05683040399252&lt;/D&gt;&lt;D xsi:type="xsd:double"&gt;7.81209266799137&lt;/D&gt;&lt;D xsi:type="xsd:double"&gt;8.39344583857009&lt;/D&gt;&lt;D xsi:type="xsd:double"&gt;8.00956599389295&lt;/D&gt;&lt;D xsi:type="xsd:double"&gt;7.78472748768386&lt;/D&gt;&lt;D xsi:type="xsd:double"&gt;9.86491327230144&lt;/D&gt;&lt;D xsi:type="xsd:double"&gt;7.90199472305594&lt;/D&gt;&lt;D xsi:type="xsd:double"&gt;7.84139615104185&lt;/D&gt;&lt;/FQL&gt;&lt;FQL&gt;&lt;Q&gt;EPHE^FMA_PE(LTMA,-10AY,0,AM,"PORTAGG","MEANR")&lt;/Q&gt;&lt;R&gt;121&lt;/R&gt;&lt;C&gt;1&lt;/C&gt;&lt;D xsi:type="xsd:double"&gt;19.2291236435333&lt;/D&gt;&lt;D xsi:type="xsd:double"&gt;19.5701685911389&lt;/D&gt;&lt;D xsi:type="xsd:double"&gt;19.9696189953459&lt;/D&gt;&lt;D xsi:type="xsd:double"&gt;19.2540800128904&lt;/D&gt;&lt;D xsi:type="xsd:double"&gt;20.1056741348972&lt;/D&gt;&lt;D xsi:type="xsd:double"&gt;19.6965231056406&lt;/D&gt;&lt;D xsi:type="xsd:double"&gt;20.5331923410186&lt;/D&gt;&lt;D xsi:type="xsd:double"&gt;21.1200135741137&lt;/D&gt;&lt;D xsi:type="xsd:double"&gt;20.9381313745613&lt;/D&gt;&lt;D xsi:type="xsd:double"&gt;20.8150666100952&lt;/D&gt;&lt;D xsi:type="xsd:double"&gt;20.6270840101028&lt;/D&gt;&lt;D xsi:type="xsd:double"&gt;20.1875595555216&lt;/D&gt;&lt;D xsi:type="xsd:double"&gt;20.1490566327406&lt;/D&gt;&lt;D xsi:type="xsd:double"&gt;19.6749050882017&lt;/D&gt;&lt;D xsi:type="xsd:double"&gt;19.270224119166&lt;/D&gt;&lt;D xsi:type="xsd:double"&gt;19.1333110241275&lt;/D&gt;&lt;D xsi:type="xsd:double"&gt;18.0768224742779&lt;/D&gt;&lt;D xsi:type="xsd:double"&gt;18.0514983183256&lt;/D&gt;&lt;D xsi:type="xsd:double"&gt;16.4755203384317&lt;/D&gt;&lt;D xsi:type="xsd:double"&gt;17.3385413908962&lt;/D&gt;&lt;D xsi:type="xsd:double"&gt;16.8910200352889&lt;/D&gt;&lt;D xsi:type="xsd:double"&gt;16.9182612135743&lt;/D&gt;&lt;D xsi:type="xsd:double"&gt;16.9293755734&lt;/D&gt;&lt;D xsi:type="xsd:double"&gt;17.4100372474987&lt;/D&gt;&lt;D xsi:type="xsd:double"&gt;18.0743525253966&lt;/D&gt;&lt;D xsi:type="xsd:double"&gt;18.3818074998789&lt;/D&gt;&lt;D xsi:type="xsd:double"&gt;17.7451831957521&lt;/D&gt;&lt;D xsi:type="xsd:double"&gt;18.0906454987052&lt;/D&gt;&lt;D xsi:type="xsd:double"&gt;16.9275795072565&lt;/D&gt;&lt;D xsi:type="xsd:double"&gt;16.5103451820776&lt;/D&gt;&lt;D xsi:type="xsd:double"&gt;18.1038533223174&lt;/D&gt;&lt;D xsi:type="xsd:double"&gt;18.2245928325088&lt;/D&gt;&lt;D xsi:type="xsd:double"&gt;17.8785771847513&lt;/D&gt;&lt;D xsi:type="xsd:double"&gt;17.9192545000699&lt;/D&gt;&lt;D xsi:type="xsd:double"&gt;17.957123311272&lt;/D&gt;&lt;D xsi:type="xsd:double"&gt;18.2962703147487&lt;/D&gt;&lt;D xsi:type="xsd:double"&gt;17.9552863448597&lt;/D&gt;&lt;D xsi:type="xsd:double"&gt;17.8021350744559&lt;/D&gt;&lt;D xsi:type="xsd:double"&gt;18.6030471677366&lt;/D&gt;&lt;D xsi:type="xsd:double"&gt;19.6409283843392&lt;/D&gt;&lt;D xsi:type="xsd:double"&gt;19.2736967200825&lt;/D&gt;&lt;D xsi:type="xsd:double"&gt;19.3696005975529&lt;/D&gt;&lt;D xsi:type="xsd:double"&gt;20.3919178024583&lt;/D&gt;&lt;D xsi:type="xsd:double"&gt;19.4385026382636&lt;/D&gt;&lt;D xsi:type="xsd:double"&gt;19.2109347055239&lt;/D&gt;&lt;D xsi:type="xsd:double"&gt;18.6588798939341&lt;/D&gt;&lt;D xsi:type="xsd:double"&gt;18.5604660060596&lt;/D&gt;&lt;D xsi:type="xsd:double"&gt;18.061643918904&lt;/D&gt;&lt;D xsi:type="xsd:double"&gt;17.709564003555&lt;/D&gt;&lt;D xsi:type="xsd:double"&gt;17.7291089052731&lt;/D&gt;&lt;D xsi:type="xsd:double"&gt;16.4651504706933&lt;/D&gt;&lt;D xsi:type="xsd:double"&gt;16.2189312951075&lt;/D&gt;&lt;D xsi:type="xsd:double"&gt;16.0248256824918&lt;/D&gt;&lt;D xsi:type="xsd:double"&gt;16.9587546276952&lt;/D&gt;&lt;D xsi:type="xsd:double"&gt;17.7490938435276&lt;/D&gt;&lt;D xsi:type="xsd:double"&gt;17.1162244850377&lt;/D&gt;&lt;D xsi:type="xsd:double"&gt;16.7504142826287&lt;/D&gt;&lt;D xsi:type="xsd:double"&gt;16.6637999461895&lt;/D&gt;&lt;D xsi:type="xsd:double"&gt;16.461170021686&lt;/D&gt;&lt;D xsi:type="xsd:double"&gt;16.7167421509083&lt;/D&gt;&lt;D xsi:type="xsd:double"&gt;16.872901594597&lt;/D&gt;&lt;D xsi:type="xsd:double"&gt;16.0987269652131&lt;/D&gt;&lt;D xsi:type="xsd:double"&gt;15.369397927345&lt;/D&gt;&lt;D xsi:type="xsd:double"&gt;15.1516552783187&lt;/D&gt;&lt;D xsi:type="xsd:double"&gt;14.938642755987&lt;/D&gt;&lt;D xsi:type="xsd:double"&gt;14.7169100456091&lt;/D&gt;&lt;D xsi:type="xsd:double"&gt;14.7748757658727&lt;/D&gt;&lt;D xsi:type="xsd:double"&gt;14.0337845108073&lt;/D&gt;&lt;D xsi:type="xsd:double"&gt;12.123985614142&lt;/D&gt;&lt;D xsi:type="xsd:double"&gt;12.7347803587503&lt;/D&gt;&lt;D xsi:type="xsd:double"&gt;13.4924796662036&lt;/D&gt;&lt;D xsi:type="xsd:double"&gt;15.286885626926&lt;/D&gt;&lt;D xsi:type="xsd:double"&gt;15.7297409097603&lt;/D&gt;&lt;D xsi:type="xsd:double"&gt;17.7744764814685&lt;/D&gt;&lt;D xsi:type="xsd:double"&gt;18.6304253390293&lt;/D&gt;&lt;D xsi:type="xsd:double"&gt;20.1432833167385&lt;/D&gt;&lt;D xsi:type="xsd:double"&gt;24.6636889129096&lt;/D&gt;&lt;D xsi:type="xsd:double"&gt;25.1079336278265&lt;/D&gt;&lt;D xsi:type="xsd:double"&gt;25.8193876439084&lt;/D&gt;&lt;D xsi:type="xsd:double"&gt;24.2697250505618&lt;/D&gt;&lt;D xsi:type="xsd:double"&gt;22.4253060844955&lt;/D&gt;&lt;D xsi:type="xsd:double"&gt;21.7450421909292&lt;/D&gt;&lt;D xsi:type="xsd:double"&gt;21.1433443756763&lt;/D&gt;&lt;D xsi:type="xsd:double"&gt;21.5194520358093&lt;/D&gt;&lt;D xsi:type="xsd:double"&gt;20.5769763617232&lt;/D&gt;&lt;D xsi:type="xsd:double"&gt;20.204597934059&lt;/D&gt;&lt;D xsi:type="xsd:double"&gt;20.4085423038778&lt;/D&gt;&lt;D xsi:type="xsd:double"&gt;21.1938262368681&lt;/D&gt;&lt;D xsi:type="xsd:double"&gt;20.3543974268174&lt;/D&gt;&lt;D xsi:type="xsd:double"&gt;20.0146997791466&lt;/D&gt;&lt;D xsi:type="xsd:double"&gt;19.58830365729&lt;/D&gt;&lt;D xsi:type="xsd:double"&gt;19.7133204765622&lt;/D&gt;&lt;D xsi:type="xsd:double"&gt;19.0246885552189&lt;/D&gt;&lt;D xsi:type="xsd:double"&gt;18.5475292577109&lt;/D&gt;&lt;D xsi:type="xsd:double"&gt;17.6967837294614&lt;/D&gt;&lt;D xsi:type="xsd:double"&gt;17.1820291158611&lt;/D&gt;&lt;D xsi:type="xsd:double"&gt;16.5392859918377&lt;/D&gt;&lt;D xsi:type="xsd:double"&gt;16.5421866658768&lt;/D&gt;&lt;D xsi:type="xsd:double"&gt;15.3748369420931&lt;/D&gt;&lt;D xsi:type="xsd:double"&gt;14.3909484061689&lt;/D&gt;&lt;D xsi:type="xsd:double"&gt;14.0323106552565&lt;/D&gt;&lt;D xsi:type="xsd:double"&gt;13.2011033548029&lt;/D&gt;&lt;D xsi:type="xsd:double"&gt;14.7627577377805&lt;/D&gt;&lt;D xsi:type="xsd:double"&gt;13.9118509616068&lt;/D&gt;&lt;D xsi:type="xsd:double"&gt;13.1297971496075&lt;/D&gt;&lt;D xsi:type="xsd:double"&gt;12.9350097156678&lt;/D&gt;&lt;D xsi:type="xsd:double"&gt;12.7983191252982&lt;/D&gt;&lt;D xsi:type="xsd:double"&gt;12.162666689326&lt;/D&gt;&lt;D xsi:type="xsd:double"&gt;11.9195080658239&lt;/D&gt;&lt;D xsi:type="xsd:double"&gt;11.2777766601591&lt;/D&gt;&lt;D xsi:type="xsd:double"&gt;10.9993449330101&lt;/D&gt;&lt;D xsi:type="xsd:double"&gt;10.998065819485&lt;/D&gt;&lt;D xsi:type="xsd:double"&gt;10.6196850154243&lt;/D&gt;&lt;D xsi:type="xsd:double"&gt;10.0299413218669&lt;/D&gt;&lt;D xsi:type="xsd:double"&gt;9.958303608806&lt;/D&gt;&lt;D xsi:type="xsd:double"&gt;10.4349614369276&lt;/D&gt;&lt;D xsi:type="xsd:double"&gt;10.6457557951595&lt;/D&gt;&lt;D xsi:type="xsd:double"&gt;10.307968060387&lt;/D&gt;&lt;D xsi:type="xsd:double"&gt;10.1413564091521&lt;/D&gt;&lt;D xsi:type="xsd:double"&gt;9.97686974125182&lt;/D&gt;&lt;D xsi:type="xsd:double"&gt;10.2394859281597&lt;/D&gt;&lt;/FQL&gt;&lt;FQL&gt;&lt;Q&gt;WL-FDS^FG_PRICE(0)&lt;/Q&gt;&lt;R&gt;1&lt;/R&gt;&lt;C&gt;1&lt;/C&gt;&lt;D xsi:type="xsd:double"&gt;541.2&lt;/D&gt;&lt;/FQL&gt;&lt;FQL&gt;&lt;Q&gt;PLATI-FDS^FG_PRICE_CHANGE(0,-3AM)&lt;/Q&gt;&lt;R&gt;1&lt;/R&gt;&lt;C&gt;1&lt;/C&gt;&lt;D xsi:type="xsd:double"&gt;6.95187165775402&lt;/D&gt;&lt;/FQL&gt;&lt;FQL&gt;&lt;Q&gt;W-FDS^FG_PRICE(0)&lt;/Q&gt;&lt;R&gt;1&lt;/R&gt;&lt;C&gt;1&lt;/C&gt;&lt;D xsi:type="xsd:double"&gt;5.4275&lt;/D&gt;&lt;/FQL&gt;&lt;FQL&gt;&lt;Q&gt;TIOS-FDS^FG_PRICE_CHANGE(0,-1AY)&lt;/Q&gt;&lt;R&gt;1&lt;/R&gt;&lt;C&gt;1&lt;/C&gt;&lt;D xsi:type="xsd:double"&gt;-2.98893647394718&lt;/D&gt;&lt;/FQL&gt;&lt;FQL&gt;&lt;Q&gt;INDA^FG_PRICE_MAVG(0,,,,30)&lt;/Q&gt;&lt;R&gt;1&lt;/R&gt;&lt;C&gt;1&lt;/C&gt;&lt;D xsi:type="xsd:double"&gt;55.741665&lt;/D&gt;&lt;/FQL&gt;&lt;FQL&gt;&lt;Q&gt;EWW^FG_PRICE_MAVG(0,,,,60)&lt;/Q&gt;&lt;R&gt;1&lt;/R&gt;&lt;C&gt;1&lt;/C&gt;&lt;D xsi:type="xsd:double"&gt;62.038&lt;/D&gt;&lt;/FQL&gt;&lt;FQL&gt;&lt;Q&gt;EPHE^FG_PRICE_MAVG(0,,,,200)&lt;/Q&gt;&lt;R&gt;1&lt;/R&gt;&lt;C&gt;1&lt;/C&gt;&lt;D xsi:type="xsd:double"&gt;25.65676&lt;/D&gt;&lt;/FQL&gt;&lt;FQL&gt;&lt;Q&gt;UAE^FG_TOTAL_RETURNC(0,-1AM)&lt;/Q&gt;&lt;R&gt;1&lt;/R&gt;&lt;C&gt;1&lt;/C&gt;&lt;D xsi:type="xsd:double"&gt;5.782068&lt;/D&gt;&lt;/FQL&gt;&lt;FQL&gt;&lt;Q&gt;SET-BKK^FMA_PCT_ABOVE_MAVG(200,0,,,,"PORTAGG")&lt;/Q&gt;&lt;R&gt;1&lt;/R&gt;&lt;C&gt;1&lt;/C&gt;&lt;D xsi:type="xsd:double"&gt;24.4377811094453&lt;/D&gt;&lt;/FQL&gt;&lt;FQL&gt;&lt;Q&gt;INDA^FG_TOTAL_RETURNC(0,-12AM)&lt;/Q&gt;&lt;R&gt;1&lt;/R&gt;&lt;C&gt;1&lt;/C&gt;&lt;D xsi:type="xsd:double"&gt;25.823069&lt;/D&gt;&lt;/FQL&gt;&lt;FQL&gt;&lt;Q&gt;EZA^P_PRICE(0)/P_PRICE_LOW_PR(0,,,,,,"PRICE","INTRA","52W")-1&lt;/Q&gt;&lt;R&gt;1&lt;/R&gt;&lt;C&gt;1&lt;/C&gt;&lt;D xsi:type="xsd:double"&gt;0.21001124&lt;/D&gt;&lt;/FQL&gt;&lt;FQL&gt;&lt;Q&gt;EWT^FG_TOTAL_RETURNC(0,-1AM)&lt;/Q&gt;&lt;R&gt;1&lt;/R&gt;&lt;C&gt;1&lt;/C&gt;&lt;D xsi:type="xsd:double"&gt;-2.3879468&lt;/D&gt;&lt;/FQL&gt;&lt;FQL&gt;&lt;Q&gt;EPHE^PERCENT_CHANGE(FMA_EPS(+1,0,,,,"PORTAGG","MEAN"),FMA_EPS(+1,-3AM,,,,"PORTAGG","MEAN"))&lt;/Q&gt;&lt;R&gt;1&lt;/R&gt;&lt;C&gt;1&lt;/C&gt;&lt;D xsi:type="xsd:double"&gt;-4.43722272699663&lt;/D&gt;&lt;/FQL&gt;&lt;FQL&gt;&lt;Q&gt;EWJ^FG_TOTAL_RETURNC(0,-3AM)&lt;/Q&gt;&lt;R&gt;1&lt;/R&gt;&lt;C&gt;1&lt;/C&gt;&lt;D xsi:type="xsd:double"&gt;6.005192&lt;/D&gt;&lt;/FQL&gt;&lt;FQL&gt;&lt;Q&gt;EWJ^FMA_PCT_ABOVE_MAVG(200,0,,,,"PORTAGG")&lt;/Q&gt;&lt;R&gt;1&lt;/R&gt;&lt;C&gt;1&lt;/C&gt;&lt;D xsi:type="xsd:double"&gt;72.0588235294118&lt;/D&gt;&lt;/FQL&gt;&lt;FQL&gt;&lt;Q&gt;VWO^SIZE(FG_CONSTITUENTS)&lt;/Q&gt;&lt;R&gt;1&lt;/R&gt;&lt;C&gt;1&lt;/C&gt;&lt;D xsi:type="xsd:long"&gt;4776&lt;/D&gt;&lt;/FQL&gt;&lt;FQL&gt;&lt;Q&gt;REFZAREPO-FDS^(SUBARRAY(NOT_NA(NO_REPEAT_F(FG_YIELD(NOW,-10AY,D))),0,1)-SUBARRAY(NOT_NA(NO_REPEAT_F(FG_YIELD(NOW,-10AY,D))),1,1))*100&lt;/Q&gt;&lt;R&gt;1&lt;/R&gt;&lt;C&gt;1&lt;/C&gt;&lt;D xsi:type="xsd:double"&gt;50&lt;/D&gt;&lt;/FQL&gt;&lt;FQL&gt;&lt;Q&gt;REFMYON-FDS^PROPER_NAME(0,,,"SECURITY","NAME")&lt;/Q&gt;&lt;R&gt;1&lt;/R&gt;&lt;C&gt;1&lt;/C&gt;&lt;D xsi:type="xsd:string"&gt;Malaysia Policy Rate - Overnight&lt;/D&gt;&lt;/FQL&gt;&lt;FQL&gt;&lt;Q&gt;EWM^FMA_EVAL_EBITDA(NTMA,0,,,"PORTAGG","MEANR")&lt;/Q&gt;&lt;R&gt;1&lt;/R&gt;&lt;C&gt;1&lt;/C&gt;&lt;D xsi:type="xsd:double"&gt;8.98976242434782&lt;/D&gt;&lt;/FQL&gt;&lt;FQL&gt;&lt;Q&gt;EPOL^FMA_PE(NTMA,0,,,"PORTAGG","MEANR")&lt;/Q&gt;&lt;R&gt;1&lt;/R&gt;&lt;C&gt;1&lt;/C&gt;&lt;D xsi:type="xsd:double"&gt;8.69907980138946&lt;/D&gt;&lt;/FQL&gt;&lt;FQL&gt;&lt;Q&gt;ECH^FMA_EVAL_EBIT(LTMA,NOW,NOW,M,"PORTAGG","MEANR")&lt;/Q&gt;&lt;R&gt;1&lt;/R&gt;&lt;C&gt;1&lt;/C&gt;&lt;D xsi:type="xsd:double"&gt;9.65487692499953&lt;/D&gt;&lt;/FQL&gt;&lt;FQL&gt;&lt;Q&gt;EPU^PERCENT_CHANGE(FMA_EPS(+1,0,,,,"PORTAGG","MEAN"),FMA_EPS(+1,-3AM,,,,"PORTAGG","MEAN"))&lt;/Q&gt;&lt;R&gt;1&lt;/R&gt;&lt;C&gt;1&lt;/C&gt;&lt;D xsi:type="xsd:double"&gt;10.1082102256286&lt;/D&gt;&lt;/FQL&gt;&lt;FQL&gt;&lt;Q&gt;ECH^PERCENT_CHANGE(FMA_EPS(+1,0,,,,"PORTAGG","MEAN"),FMA_EPS(+1,-1AM,,,,"PORTAGG","MEAN"))&lt;/Q&gt;&lt;R&gt;1&lt;/R&gt;&lt;C&gt;1&lt;/C&gt;&lt;D xsi:type="xsd:double"&gt;-5.16114329630426&lt;/D&gt;&lt;/FQL&gt;&lt;FQL&gt;&lt;Q&gt;VWO^FMA_COS_DOWN("EPS","1M",+1,NOW,,,"PORTAGG","MEANR")&lt;/Q&gt;&lt;R&gt;1&lt;/R&gt;&lt;C&gt;1&lt;/C&gt;&lt;D xsi:type="xsd:double"&gt;1328&lt;/D&gt;&lt;/FQL&gt;&lt;FQL&gt;&lt;Q&gt;EPOL^FMA_COS_DOWN("EPS","1M",+1,NOW,,,"PORTAGG","MEANR")&lt;/Q&gt;&lt;R&gt;1&lt;/R&gt;&lt;C&gt;1&lt;/C&gt;&lt;D xsi:type="xsd:double"&gt;8&lt;/D&gt;&lt;/FQL&gt;&lt;FQL&gt;&lt;Q&gt;VNM^FG_ROE(0)&lt;/Q&gt;&lt;R&gt;1&lt;/R&gt;&lt;C&gt;1&lt;/C&gt;&lt;D xsi:type="xsd:double"&gt;9.55591635281033&lt;/D&gt;&lt;/FQL&gt;&lt;FQL&gt;&lt;Q&gt;REFPEMPR-FDS^(SUBARRAY(NOT_NA(NO_REPEAT_F(FG_YIELD(NOW,-10AY,D))),0,1)-SUBARRAY(NOT_NA(NO_REPEAT_F(FG_YIELD(NOW,-10AY,D))),1,1))*100&lt;/Q&gt;&lt;R&gt;1&lt;/R&gt;&lt;C&gt;1&lt;/C&gt;&lt;D xsi:type="xsd:double"&gt;-25&lt;/D&gt;&lt;/FQL&gt;&lt;FQL&gt;&lt;Q&gt;TRYGR10Y-FDS^PCTCHG(FG_YIELD(0,,,,"YTM"),FG_YIELD(-3AM,,,,"YTM"))&lt;/Q&gt;&lt;R&gt;1&lt;/R&gt;&lt;C&gt;1&lt;/C&gt;&lt;D xsi:type="xsd:double"&gt;-3.7338612&lt;/D&gt;&lt;/FQL&gt;&lt;FQL&gt;&lt;Q&gt;TRYPL10Y-FDS^PCTCHG(FG_YIELD(0,,,,"YTM"),FG_YIELD(-1AM,,,,"YTM"))&lt;/Q&gt;&lt;R&gt;1&lt;/R&gt;&lt;C&gt;1&lt;/C&gt;&lt;D xsi:type="xsd:double"&gt;-3.1119053&lt;/D&gt;&lt;/FQL&gt;&lt;FQL&gt;&lt;Q&gt;CC_PE^IMF_IFS_RCPI_Q(0)&lt;/Q&gt;&lt;R&gt;0&lt;/R&gt;&lt;C&gt;0&lt;/C&gt;&lt;/FQL&gt;&lt;FQL&gt;&lt;Q&gt;EIDO^FG_COMPANY_NAME&lt;/Q&gt;&lt;R&gt;1&lt;/R&gt;&lt;C&gt;1&lt;/C&gt;&lt;D xsi:type="xsd:string"&gt;iShares MSCI Indonesia ETF&lt;/D&gt;&lt;/FQL&gt;&lt;FQL&gt;&lt;Q&gt;EPHE^FG_PRICE(0)&lt;/Q&gt;&lt;R&gt;1&lt;/R&gt;&lt;C&gt;1&lt;/C&gt;&lt;D xsi:type="xsd:double"&gt;25.57&lt;/D&gt;&lt;/FQL&gt;&lt;FQL&gt;&lt;Q&gt;KSA^PERCENT_CHANGE(FMA_EPS(+1,0,,,,"PORTAGG","MEAN"),FMA_EPS(+1,-3AM,,,,"PORTAGG","MEAN"))&lt;/Q&gt;&lt;R&gt;1&lt;/R&gt;&lt;C&gt;1&lt;/C&gt;&lt;D xsi:type="xsd:double"&gt;-3.48035212580004&lt;/D&gt;&lt;/FQL&gt;&lt;FQL&gt;&lt;Q&gt;EPU^FMA_PCT_ABOVE_MAVG(200,0,,,,"PORTAGG")&lt;/Q&gt;&lt;R&gt;1&lt;/R&gt;&lt;C&gt;1&lt;/C&gt;&lt;D xsi:type="xsd:double"&gt;80.7692307692308&lt;/D&gt;&lt;/FQL&gt;&lt;FQL&gt;&lt;Q&gt;REFPEMPR-FDS^PROPER_NAME(0,,,"SECURITY","NAME")&lt;/Q&gt;&lt;R&gt;1&lt;/R&gt;&lt;C&gt;1&lt;/C&gt;&lt;D xsi:type="xsd:string"&gt;Peru Policy Rate&lt;/D&gt;&lt;/FQL&gt;&lt;FQL&gt;&lt;Q&gt;USDQAR^STD(FG_PRICE_CHANGE(0,-1AY,AM))&lt;/Q&gt;&lt;R&gt;1&lt;/R&gt;&lt;C&gt;1&lt;/C&gt;&lt;D xsi:type="xsd:double"&gt;0.00761764787174341&lt;/D&gt;&lt;/FQL&gt;&lt;FQL&gt;&lt;Q&gt;USDPLN^FG_PRICE_CHANGE(0,-6AM)&lt;/Q&gt;&lt;R&gt;1&lt;/R&gt;&lt;C&gt;1&lt;/C&gt;&lt;D xsi:type="xsd:double"&gt;-1.7535031&lt;/D&gt;&lt;/FQL&gt;&lt;FQL&gt;&lt;Q&gt;FC0000PL^FMA_EPS(NTMA,-20AY,0,CY,,"PORTAGG","MEANR")&lt;/Q&gt;&lt;R&gt;20&lt;/R&gt;&lt;C&gt;1&lt;/C&gt;&lt;D xsi:type="xsd:double"&gt;11.3956611787009&lt;/D&gt;&lt;D xsi:type="xsd:double"&gt;13.1552545733141&lt;/D&gt;&lt;D xsi:type="xsd:double"&gt;20.1382940093796&lt;/D&gt;&lt;D xsi:type="xsd:double"&gt;27.2509703511728&lt;/D&gt;&lt;D xsi:type="xsd:double"&gt;17.8154691533002&lt;/D&gt;&lt;D xsi:type="xsd:double"&gt;15.6334740740598&lt;/D&gt;&lt;D xsi:type="xsd:double"&gt;20.0842977011357&lt;/D&gt;&lt;D xsi:type="xsd:double"&gt;17.7256437482491&lt;/D&gt;&lt;D xsi:type="xsd:double"&gt;16.740047713355&lt;/D&gt;&lt;D xsi:type="xsd:double"&gt;17.3182407358996&lt;/D&gt;&lt;D xsi:type="xsd:double"&gt;14.5525654325642&lt;/D&gt;&lt;D xsi:type="xsd:double"&gt;12.4912768812566&lt;/D&gt;&lt;D xsi:type="xsd:double"&gt;13.2484078165723&lt;/D&gt;&lt;D xsi:type="xsd:double"&gt;19.4716186195535&lt;/D&gt;&lt;D xsi:type="xsd:double"&gt;18.0244220851928&lt;/D&gt;&lt;D xsi:type="xsd:double"&gt;16.9181600231376&lt;/D&gt;&lt;D xsi:type="xsd:double"&gt;12.7251193000516&lt;/D&gt;&lt;D xsi:type="xsd:double"&gt;16.7959254186769&lt;/D&gt;&lt;D xsi:type="xsd:double"&gt;17.0889243836624&lt;/D&gt;&lt;D xsi:type="xsd:double"&gt;23.3955887248491&lt;/D&gt;&lt;/FQL&gt;&lt;FQL&gt;&lt;Q&gt;ECH^P_PRICE_RETURNS_PR('52W',2,-10AY,0,AM)&lt;/Q&gt;&lt;R&gt;121&lt;/R&gt;&lt;C&gt;1&lt;/C&gt;&lt;D xsi:type="xsd:double"&gt;-13.504637&lt;/D&gt;&lt;D xsi:type="xsd:double"&gt;-6.9104013&lt;/D&gt;&lt;D xsi:type="xsd:double"&gt;-19.111897&lt;/D&gt;&lt;D xsi:type="xsd:double"&gt;-19.437849&lt;/D&gt;&lt;D xsi:type="xsd:double"&gt;-11.562705&lt;/D&gt;&lt;D xsi:type="xsd:double"&gt;-13.325566&lt;/D&gt;&lt;D xsi:type="xsd:double"&gt;-15.981447&lt;/D&gt;&lt;D xsi:type="xsd:double"&gt;-3.1895697&lt;/D&gt;&lt;D xsi:type="xsd:double"&gt;-7.7876806&lt;/D&gt;&lt;D xsi:type="xsd:double"&gt;-8.178276&lt;/D&gt;&lt;D xsi:type="xsd:double"&gt;-7.5067577&lt;/D&gt;&lt;D xsi:type="xsd:double"&gt;-14.715618&lt;/D&gt;&lt;D xsi:type="xsd:double"&gt;-15.237576&lt;/D&gt;&lt;D xsi:type="xsd:double"&gt;-21.222328&lt;/D&gt;&lt;D xsi:type="xsd:double"&gt;-17.466963&lt;/D&gt;&lt;D xsi:type="xsd:double"&gt;-13.218451&lt;/D&gt;&lt;D xsi:type="xsd:double"&gt;-19.99038&lt;/D&gt;&lt;D xsi:type="xsd:double"&gt;-17.679464&lt;/D&gt;&lt;D xsi:type="xsd:double"&gt;-19.506014&lt;/D&gt;&lt;D xsi:type="xsd:double"&gt;-16.111332&lt;/D&gt;&lt;D xsi:type="xsd:double"&gt;-4.304701&lt;/D&gt;&lt;D xsi:type="xsd:double"&gt;-8.529597&lt;/D&gt;&lt;D xsi:type="xsd:double"&gt;-17.155903&lt;/D&gt;&lt;D xsi:type="xsd:double"&gt;-6.860137&lt;/D&gt;&lt;D xsi:type="xsd:double"&gt;4.254544&lt;/D&gt;&lt;D xsi:type="xsd:double"&gt;14.834679&lt;/D&gt;&lt;D xsi:type="xsd:double"&gt;5.7071805&lt;/D&gt;&lt;D xsi:type="xsd:double"&gt;13.464999&lt;/D&gt;&lt;D xsi:type="xsd:double"&gt;14.307129&lt;/D&gt;&lt;D xsi:type="xsd:double"&gt;18.732368&lt;/D&gt;&lt;D xsi:type="xsd:double"&gt;32.760284&lt;/D&gt;&lt;D xsi:type="xsd:double"&gt;23.783648&lt;/D&gt;&lt;D xsi:type="xsd:double"&gt;17.934847&lt;/D&gt;&lt;D xsi:type="xsd:double"&gt;19.522905&lt;/D&gt;&lt;D xsi:type="xsd:double"&gt;24.744106&lt;/D&gt;&lt;D xsi:type="xsd:double"&gt;22.571064&lt;/D&gt;&lt;D xsi:type="xsd:double"&gt;19.072533&lt;/D&gt;&lt;D xsi:type="xsd:double"&gt;22.691381&lt;/D&gt;&lt;D xsi:type="xsd:double"&gt;37.732304&lt;/D&gt;&lt;D xsi:type="xsd:double"&gt;33.703087&lt;/D&gt;&lt;D xsi:type="xsd:double"&gt;36.41298&lt;/D&gt;&lt;D xsi:type="xsd:double"&gt;41.380264&lt;/D&gt;&lt;D xsi:type="xsd:double"&gt;46.096672&lt;/D&gt;&lt;D xsi:type="xsd:double"&gt;34.755314&lt;/D&gt;&lt;D xsi:type="xsd:double"&gt;26.2259&lt;/D&gt;&lt;D xsi:type="xsd:double"&gt;26.77605&lt;/D&gt;&lt;D xsi:type="xsd:double"&gt;24.288702&lt;/D&gt;&lt;D xsi:type="xsd:double"&gt;13.814211&lt;/D&gt;&lt;D xsi:type="xsd:double"&gt;3.6079407&lt;/D&gt;&lt;D xsi:type="xsd:double"&gt;-2.060026&lt;/D&gt;&lt;D xsi:type="xsd:double"&gt;-5.1777067&lt;/D&gt;&lt;D xsi:type="xsd:double"&gt;-15.235954&lt;/D&gt;&lt;D xsi:type="xsd:double"&gt;-10.753351&lt;/D&gt;&lt;D xsi:type="xsd:double"&gt;-18.319714&lt;/D&gt;&lt;D xsi:type="xsd:double"&gt;-15.610111&lt;/D&gt;&lt;D xsi:type="xsd:double"&gt;-13.798118&lt;/D&gt;&lt;D xsi:type="xsd:double"&gt;-13.098204&lt;/D&gt;&lt;D xsi:type="xsd:double"&gt;-17.988508&lt;/D&gt;&lt;D xsi:type="xsd:double"&gt;-21.99495&lt;/D&gt;&lt;D xsi:type="xsd:double"&gt;-14.920652&lt;/D&gt;&lt;D xsi:type="xsd:double"&gt;-11.295957&lt;/D&gt;&lt;D xsi:type="xsd:double"&gt;-15.925848&lt;/D&gt;&lt;D xsi:type="xsd:double"&gt;-14.702791&lt;/D&gt;&lt;D xsi:type="xsd:double"&gt;-6.2627196&lt;/D&gt;&lt;D xsi:type="xsd:double"&gt;-23.509354&lt;/D&gt;&lt;D xsi:type="xsd:double"&gt;-17.353725&lt;/D&gt;&lt;D xsi:type="xsd:double"&gt;-24.48858&lt;/D&gt;&lt;D xsi:type="xsd:double"&gt;-32.94165&lt;/D&gt;&lt;D xsi:type="xsd:double"&gt;-55.93072&lt;/D&gt;&lt;D xsi:type="xsd:double"&gt;-45.127697&lt;/D&gt;&lt;D xsi:type="xsd:double"&gt;-37.28591&lt;/D&gt;&lt;D xsi:type="xsd:double"&gt;-34.30213&lt;/D&gt;&lt;D xsi:type="xsd:double"&gt;-32.982487&lt;/D&gt;&lt;D xsi:type="xsd:double"&gt;-25.458973&lt;/D&gt;&lt;D xsi:type="xsd:double"&gt;-33.403366&lt;/D&gt;&lt;D xsi:type="xsd:double"&gt;-37.292336&lt;/D&gt;&lt;D xsi:type="xsd:double"&gt;-14.891476&lt;/D&gt;&lt;D xsi:type="xsd:double"&gt;-9.110058&lt;/D&gt;&lt;D xsi:type="xsd:double"&gt;-3.1164825&lt;/D&gt;&lt;D xsi:type="xsd:double"&gt;12.301874&lt;/D&gt;&lt;D xsi:type="xsd:double"&gt;82.31756&lt;/D&gt;&lt;D xsi:type="xsd:double"&gt;53.63499&lt;/D&gt;&lt;D xsi:type="xsd:double"&gt;19.259274&lt;/D&gt;&lt;D xsi:type="xsd:double"&gt;13.007366&lt;/D&gt;&lt;D xsi:type="xsd:double"&gt;5.746019&lt;/D&gt;&lt;D xsi:type="xsd:double"&gt;3.6168694&lt;/D&gt;&lt;D xsi:type="xsd:double"&gt;10.405803&lt;/D&gt;&lt;D xsi:type="xsd:double"&gt;2.652812&lt;/D&gt;&lt;D xsi:type="xsd:double"&gt;-4.8045216&lt;/D&gt;&lt;D xsi:type="xsd:double"&gt;-15.200692&lt;/D&gt;&lt;D xsi:type="xsd:double"&gt;-15.800887&lt;/D&gt;&lt;D xsi:type="xsd:double"&gt;-16.095661&lt;/D&gt;&lt;D xsi:type="xsd:double"&gt;-13.640374&lt;/D&gt;&lt;D xsi:type="xsd:double"&gt;-18.283766&lt;/D&gt;&lt;D xsi:type="xsd:double"&gt;3.487134&lt;/D&gt;&lt;D xsi:type="xsd:double"&gt;-4.2332945&lt;/D&gt;&lt;D xsi:type="xsd:double"&gt;-1.6819179&lt;/D&gt;&lt;D xsi:type="xsd:double"&gt;2.8297424&lt;/D&gt;&lt;D xsi:type="xsd:double"&gt;7.3916674&lt;/D&gt;&lt;D xsi:type="xsd:double"&gt;5.784452&lt;/D&gt;&lt;D xsi:type="xsd:double"&gt;8.596921&lt;/D&gt;&lt;D xsi:type="xsd:double"&gt;12.67668&lt;/D&gt;&lt;D xsi:type="xsd:double"&gt;14.043212&lt;/D&gt;&lt;D xsi:type="xsd:double"&gt;19.483543&lt;/D&gt;&lt;D xsi:type="xsd:double"&gt;2.0646095&lt;/D&gt;&lt;D xsi:type="xsd:double"&gt;11.82158&lt;/D&gt;&lt;D xsi:type="xsd:double"&gt;14.248859&lt;/D&gt;&lt;D xsi:type="xsd:double"&gt;20.596552&lt;/D&gt;&lt;D xsi:type="xsd:double"&gt;36.236645&lt;/D&gt;&lt;D xsi:type="xsd:double"&gt;14.867413&lt;/D&gt;&lt;D xsi:type="xsd:double"&gt;5.8408976&lt;/D&gt;&lt;D xsi:type="xsd:double"&gt;9.310091&lt;/D&gt;&lt;D xsi:type="xsd:double"&gt;9.350157&lt;/D&gt;&lt;D xsi:type="xsd:double"&gt;15.263748&lt;/D&gt;&lt;D xsi:type="xsd:double"&gt;-1.6336918&lt;/D&gt;&lt;D xsi:type="xsd:double"&gt;-10.525054&lt;/D&gt;&lt;D xsi:type="xsd:double"&gt;2.8924227&lt;/D&gt;&lt;D xsi:type="xsd:double"&gt;-5.8852434&lt;/D&gt;&lt;D xsi:type="xsd:double"&gt;2.3447156&lt;/D&gt;&lt;D xsi:type="xsd:double"&gt;-7.128775&lt;/D&gt;&lt;D xsi:type="xsd:double"&gt;-15.253234&lt;/D&gt;&lt;/FQL&gt;&lt;FQL&gt;&lt;Q&gt;ECH^JULIAN(FMA_DIV_YLD(NTMA,-10AY,0,AM,"PORTAGG","MEANR").DATES)&lt;/Q&gt;&lt;R&gt;121&lt;/R&gt;&lt;C&gt;1&lt;/C&gt;&lt;D xsi:type="xsd:long"&gt;41838&lt;/D&gt;&lt;D xsi:type="xsd:long"&gt;41870&lt;/D&gt;&lt;D xsi:type="xsd:long"&gt;41901&lt;/D&gt;&lt;D xsi:type="xsd:long"&gt;41929&lt;/D&gt;&lt;D xsi:type="xsd:long"&gt;41962&lt;/D&gt;&lt;D xsi:type="xsd:long"&gt;41992&lt;/D&gt;&lt;D xsi:type="xsd:long"&gt;42020&lt;/D&gt;&lt;D xsi:type="xsd:long"&gt;42054&lt;/D&gt;&lt;D xsi:type="xsd:long"&gt;42082&lt;/D&gt;&lt;D xsi:type="xsd:long"&gt;42111&lt;/D&gt;&lt;D xsi:type="xsd:long"&gt;42143&lt;/D&gt;&lt;D xsi:type="xsd:long"&gt;42174&lt;/D&gt;&lt;D xsi:type="xsd:long"&gt;42202&lt;/D&gt;&lt;D xsi:type="xsd:long"&gt;42235&lt;/D&gt;&lt;D xsi:type="xsd:long"&gt;42265&lt;/D&gt;&lt;D xsi:type="xsd:long"&gt;42296&lt;/D&gt;&lt;D xsi:type="xsd:long"&gt;42327&lt;/D&gt;&lt;D xsi:type="xsd:long"&gt;42356&lt;/D&gt;&lt;D xsi:type="xsd:long"&gt;42388&lt;/D&gt;&lt;D xsi:type="xsd:long"&gt;42419&lt;/D&gt;&lt;D xsi:type="xsd:long"&gt;42447&lt;/D&gt;&lt;D xsi:type="xsd:long"&gt;42479&lt;/D&gt;&lt;D xsi:type="xsd:long"&gt;42509&lt;/D&gt;&lt;D xsi:type="xsd:long"&gt;42538&lt;/D&gt;&lt;D xsi:type="xsd:long"&gt;42570&lt;/D&gt;&lt;D xsi:type="xsd:long"&gt;42601&lt;/D&gt;&lt;D xsi:type="xsd:long"&gt;42632&lt;/D&gt;&lt;D xsi:type="xsd:long"&gt;42662&lt;/D&gt;&lt;D xsi:type="xsd:long"&gt;42692&lt;/D&gt;&lt;D xsi:type="xsd:long"&gt;42723&lt;/D&gt;&lt;D xsi:type="xsd:long"&gt;42754&lt;/D&gt;&lt;D xsi:type="xsd:long"&gt;42783&lt;/D&gt;&lt;D xsi:type="xsd:long"&gt;42811&lt;/D&gt;&lt;D xsi:type="xsd:long"&gt;42844&lt;/D&gt;&lt;D xsi:type="xsd:long"&gt;42874&lt;/D&gt;&lt;D xsi:type="xsd:long"&gt;42905&lt;/D&gt;&lt;D xsi:type="xsd:long"&gt;42935&lt;/D&gt;&lt;D xsi:type="xsd:long"&gt;42965&lt;/D&gt;&lt;D xsi:type="xsd:long"&gt;42997&lt;/D&gt;&lt;D xsi:type="xsd:long"&gt;43027&lt;/D&gt;&lt;D xsi:type="xsd:long"&gt;43056&lt;/D&gt;&lt;D xsi:type="xsd:long"&gt;43088&lt;/D&gt;&lt;D xsi:type="xsd:long"&gt;43119&lt;/D&gt;&lt;D xsi:type="xsd:long"&gt;43147&lt;/D&gt;&lt;D xsi:type="xsd:long"&gt;43178&lt;/D&gt;&lt;D xsi:type="xsd:long"&gt;43209&lt;/D&gt;&lt;D xsi:type="xsd:long"&gt;43238&lt;/D&gt;&lt;D xsi:type="xsd:long"&gt;43270&lt;/D&gt;&lt;D xsi:type="xsd:long"&gt;43300&lt;/D&gt;&lt;D xsi:type="xsd:long"&gt;43329&lt;/D&gt;&lt;D xsi:type="xsd:long"&gt;43362&lt;/D&gt;&lt;D xsi:type="xsd:long"&gt;43392&lt;/D&gt;&lt;D xsi:type="xsd:long"&gt;43423&lt;/D&gt;&lt;D xsi:type="xsd:long"&gt;43453&lt;/D&gt;&lt;D xsi:type="xsd:long"&gt;43483&lt;/D&gt;&lt;D xsi:type="xsd:long"&gt;43515&lt;/D&gt;&lt;D xsi:type="xsd:long"&gt;43543&lt;/D&gt;&lt;D xsi:type="xsd:long"&gt;43573&lt;/D&gt;&lt;D xsi:type="xsd:long"&gt;43602&lt;/D&gt;&lt;D xsi:type="xsd:long"&gt;43635&lt;/D&gt;&lt;D xsi:type="xsd:long"&gt;43665&lt;/D&gt;&lt;D xsi:type="xsd:long"&gt;43696&lt;/D&gt;&lt;D xsi:type="xsd:long"&gt;43727&lt;/D&gt;&lt;D xsi:type="xsd:long"&gt;43756&lt;/D&gt;&lt;D xsi:type="xsd:long"&gt;43788&lt;/D&gt;&lt;D xsi:type="xsd:long"&gt;43818&lt;/D&gt;&lt;D xsi:type="xsd:long"&gt;43847&lt;/D&gt;&lt;D xsi:type="xsd:long"&gt;43880&lt;/D&gt;&lt;D xsi:type="xsd:long"&gt;43909&lt;/D&gt;&lt;D xsi:type="xsd:long"&gt;43938&lt;/D&gt;&lt;D xsi:type="xsd:long"&gt;43970&lt;/D&gt;&lt;D xsi:type="xsd:long"&gt;44001&lt;/D&gt;&lt;D xsi:type="xsd:long"&gt;44029&lt;/D&gt;&lt;D xsi:type="xsd:long"&gt;44062&lt;/D&gt;&lt;D xsi:type="xsd:long"&gt;44092&lt;/D&gt;&lt;D xsi:type="xsd:long"&gt;44123&lt;/D&gt;&lt;D xsi:type="xsd:long"&gt;44154&lt;/D&gt;&lt;D xsi:type="xsd:long"&gt;44183&lt;/D&gt;&lt;D xsi:type="xsd:long"&gt;44215&lt;/D&gt;&lt;D xsi:type="xsd:long"&gt;44246&lt;/D&gt;&lt;D xsi:type="xsd:long"&gt;44274&lt;/D&gt;&lt;D xsi:type="xsd:long"&gt;44305&lt;/D&gt;&lt;D xsi:type="xsd:long"&gt;44335&lt;/D&gt;&lt;D xsi:type="xsd:long"&gt;44365&lt;/D&gt;&lt;D xsi:type="xsd:long"&gt;44396&lt;/D&gt;&lt;D xsi:type="xsd:long"&gt;44427&lt;/D&gt;&lt;D xsi:type="xsd:long"&gt;44456&lt;/D&gt;&lt;D xsi:type="xsd:long"&gt;44488&lt;/D&gt;&lt;D xsi:type="xsd:long"&gt;44519&lt;/D&gt;&lt;D xsi:type="xsd:long"&gt;44547&lt;/D&gt;&lt;D xsi:type="xsd:long"&gt;44580&lt;/D&gt;&lt;D xsi:type="xsd:long"&gt;44610&lt;/D&gt;&lt;D xsi:type="xsd:long"&gt;44638&lt;/D&gt;&lt;D xsi:type="xsd:long"&gt;44670&lt;/D&gt;&lt;D xsi:type="xsd:long"&gt;44700&lt;/D&gt;&lt;D xsi:type="xsd:long"&gt;44729&lt;/D&gt;&lt;D xsi:type="xsd:long"&gt;44761&lt;/D&gt;&lt;D xsi:type="xsd:long"&gt;44792&lt;/D&gt;&lt;D xsi:type="xsd:long"&gt;44823&lt;/D&gt;&lt;D xsi:type="xsd:long"&gt;44853&lt;/D&gt;&lt;D xsi:type="xsd:long"&gt;44883&lt;/D&gt;&lt;D xsi:type="xsd:long"&gt;44914&lt;/D&gt;&lt;D xsi:type="xsd:long"&gt;44945&lt;/D&gt;&lt;D xsi:type="xsd:long"&gt;44974&lt;/D&gt;&lt;D xsi:type="xsd:long"&gt;45002&lt;/D&gt;&lt;D xsi:type="xsd:long"&gt;45035&lt;/D&gt;&lt;D xsi:type="xsd:long"&gt;45065&lt;/D&gt;&lt;D xsi:type="xsd:long"&gt;45093&lt;/D&gt;&lt;D xsi:type="xsd:long"&gt;45126&lt;/D&gt;&lt;D xsi:type="xsd:long"&gt;45156&lt;/D&gt;&lt;D xsi:type="xsd:long"&gt;45188&lt;/D&gt;&lt;D xsi:type="xsd:long"&gt;45218&lt;/D&gt;&lt;D xsi:type="xsd:long"&gt;45247&lt;/D&gt;&lt;D xsi:type="xsd:long"&gt;45279&lt;/D&gt;&lt;D xsi:type="xsd:long"&gt;45310&lt;/D&gt;&lt;D xsi:type="xsd:long"&gt;45338&lt;/D&gt;&lt;D xsi:type="xsd:long"&gt;45370&lt;/D&gt;&lt;D xsi:type="xsd:long"&gt;45401&lt;/D&gt;&lt;D xsi:type="xsd:long"&gt;45429&lt;/D&gt;&lt;D xsi:type="xsd:long"&gt;45461&lt;/D&gt;&lt;D xsi:type="xsd:long"&gt;45491&lt;/D&gt;&lt;/FQL&gt;&lt;FQL&gt;&lt;Q&gt;PASP-FDS^MAX(FG_PRICE(0,-5AY))&lt;/Q&gt;&lt;R&gt;1&lt;/R&gt;&lt;C&gt;1&lt;/C&gt;&lt;D xsi:type="xsd:double"&gt;3158.12&lt;/D&gt;&lt;/FQL&gt;&lt;FQL&gt;&lt;Q&gt;TIOS-FDS^FG_PRICE_CHANGE(0,-6AM)&lt;/Q&gt;&lt;R&gt;1&lt;/R&gt;&lt;C&gt;1&lt;/C&gt;&lt;D xsi:type="xsd:double"&gt;-19.9808654695319&lt;/D&gt;&lt;/FQL&gt;&lt;FQL&gt;&lt;Q&gt;UAE^FG_PRICE_MAVG(0,,,,60)&lt;/Q&gt;&lt;R&gt;1&lt;/R&gt;&lt;C&gt;1&lt;/C&gt;&lt;D xsi:type="xsd:double"&gt;13.990978&lt;/D&gt;&lt;/FQL&gt;&lt;FQL&gt;&lt;Q&gt;KSA^FG_TOTAL_RETURNC(0,-3AM)&lt;/Q&gt;&lt;R&gt;1&lt;/R&gt;&lt;C&gt;1&lt;/C&gt;&lt;D xsi:type="xsd:double"&gt;-1.2492716&lt;/D&gt;&lt;/FQL&gt;&lt;FQL&gt;&lt;Q&gt;UAE^PERCENT_CHANGE(FMA_EPS(+1,0,,,,"PORTAGG","MEAN"),FMA_EPS(+1,-3AM,,,,"PORTAGG","MEAN"))&lt;/Q&gt;&lt;R&gt;1&lt;/R&gt;&lt;C&gt;1&lt;/C&gt;&lt;D xsi:type="xsd:double"&gt;2.08628276089451&lt;/D&gt;&lt;/FQL&gt;&lt;FQL&gt;&lt;Q&gt;EZA^P_PRICE(0)/P_PRICE_HIGH_PR(0,,,,,,"PRICE","INTRA","52W")&lt;/Q&gt;&lt;R&gt;1&lt;/R&gt;&lt;C&gt;1&lt;/C&gt;&lt;D xsi:type="xsd:double"&gt;0.9539242&lt;/D&gt;&lt;/FQL&gt;&lt;FQL&gt;&lt;Q&gt;EWY^FG_TOTAL_RETURNC(0,-6AM)&lt;/Q&gt;&lt;R&gt;1&lt;/R&gt;&lt;C&gt;1&lt;/C&gt;&lt;D xsi:type="xsd:double"&gt;10.074258&lt;/D&gt;&lt;/FQL&gt;&lt;FQL&gt;&lt;Q&gt;URTH^PERCENT_CHANGE(FMA_EPS(+1,0,,,,"PORTAGG","MEAN"),FMA_EPS(+1,-3AM,,,,"PORTAGG","MEAN"))&lt;/Q&gt;&lt;R&gt;1&lt;/R&gt;&lt;C&gt;1&lt;/C&gt;&lt;D xsi:type="xsd:double"&gt;0.262883172009163&lt;/D&gt;&lt;/FQL&gt;&lt;FQL&gt;&lt;Q&gt;SE</t>
        </r>
      </text>
    </comment>
    <comment ref="A9" authorId="0" shapeId="0" xr:uid="{46856DC4-99ED-4E9C-831A-7DC8DEE933C6}">
      <text>
        <r>
          <rPr>
            <b/>
            <sz val="9"/>
            <color indexed="81"/>
            <rFont val="Tahoma"/>
            <charset val="1"/>
          </rPr>
          <t>T-BKK^FMA_COS_DOWN("EPS","1M",+1,NOW,,,"PORTAGG","MEANR")&lt;/Q&gt;&lt;R&gt;1&lt;/R&gt;&lt;C&gt;1&lt;/C&gt;&lt;D xsi:type="xsd:double"&gt;71&lt;/D&gt;&lt;/FQL&gt;&lt;FQL&gt;&lt;Q&gt;EWZ^FMA_COS_DOWN("EPS","1M",+1,NOW,,,"PORTAGG","MEANR")&lt;/Q&gt;&lt;R&gt;1&lt;/R&gt;&lt;C&gt;1&lt;/C&gt;&lt;D xsi:type="xsd:double"&gt;26&lt;/D&gt;&lt;/FQL&gt;&lt;FQL&gt;&lt;Q&gt;SET-BKK^FMA_RBICS_REV_CURRENT(30, LOC, "PORTAGG")&lt;/Q&gt;&lt;R&gt;1&lt;/R&gt;&lt;C&gt;1&lt;/C&gt;&lt;D xsi:type="xsd:double"&gt;23.1003654100738&lt;/D&gt;&lt;/FQL&gt;&lt;FQL&gt;&lt;Q&gt;EIDO^FG_ROE(0)&lt;/Q&gt;&lt;R&gt;1&lt;/R&gt;&lt;C&gt;1&lt;/C&gt;&lt;D xsi:type="xsd:double"&gt;12.8175796391757&lt;/D&gt;&lt;/FQL&gt;&lt;FQL&gt;&lt;Q&gt;TRYMY10Y-FDS^FG_YIELD_NAME&lt;/Q&gt;&lt;R&gt;1&lt;/R&gt;&lt;C&gt;1&lt;/C&gt;&lt;D xsi:type="xsd:string"&gt;Treasury - Malaysia Benchmark Bond 10Y&lt;/D&gt;&lt;/FQL&gt;&lt;FQL&gt;&lt;Q&gt;REFTR1WREPO-FDS^FG_YIELD(NOW,,,0)&lt;/Q&gt;&lt;R&gt;1&lt;/R&gt;&lt;C&gt;1&lt;/C&gt;&lt;D xsi:type="xsd:double"&gt;50&lt;/D&gt;&lt;/FQL&gt;&lt;FQL&gt;&lt;Q&gt;TRYPH10Y-FDS^PCTCHG(FG_YIELD(0,,,,"YTM"),FG_YIELD(-1AM,,,,"YTM"))&lt;/Q&gt;&lt;R&gt;1&lt;/R&gt;&lt;C&gt;1&lt;/C&gt;&lt;D xsi:type="xsd:double"&gt;-6.509368&lt;/D&gt;&lt;/FQL&gt;&lt;FQL&gt;&lt;Q&gt;EPHE^FMA_EVAL_EBIT(LTMA,NOW,NOW,M,"PORTAGG","MEANR")&lt;/Q&gt;&lt;R&gt;1&lt;/R&gt;&lt;C&gt;1&lt;/C&gt;&lt;D xsi:type="xsd:double"&gt;12.3884980267998&lt;/D&gt;&lt;/FQL&gt;&lt;FQL&gt;&lt;Q&gt;SET-BKK^FG_COMPANY_NAME&lt;/Q&gt;&lt;R&gt;1&lt;/R&gt;&lt;C&gt;1&lt;/C&gt;&lt;D xsi:type="xsd:string"&gt;Thailand SET&lt;/D&gt;&lt;/FQL&gt;&lt;FQL&gt;&lt;Q&gt;EPHE^FMA_EVAL_EBITDA(NTMA,0,,,"PORTAGG","MEANR")&lt;/Q&gt;&lt;R&gt;1&lt;/R&gt;&lt;C&gt;1&lt;/C&gt;&lt;D xsi:type="xsd:double"&gt;8.17926532493766&lt;/D&gt;&lt;/FQL&gt;&lt;FQL&gt;&lt;Q&gt;TRYCA10Y-FDS^FG_YIELD(-10AY,0,Y,,"YTM")&lt;/Q&gt;&lt;R&gt;10&lt;/R&gt;&lt;C&gt;1&lt;/C&gt;&lt;D xsi:type="xsd:double"&gt;1.79&lt;/D&gt;&lt;D xsi:type="xsd:double"&gt;1.39&lt;/D&gt;&lt;D xsi:type="xsd:double"&gt;1.72&lt;/D&gt;&lt;D xsi:type="xsd:double"&gt;2.04&lt;/D&gt;&lt;D xsi:type="xsd:double"&gt;1.96&lt;/D&gt;&lt;D xsi:type="xsd:double"&gt;1.7&lt;/D&gt;&lt;D xsi:type="xsd:double"&gt;0.67&lt;/D&gt;&lt;D xsi:type="xsd:double"&gt;1.42&lt;/D&gt;&lt;D xsi:type="xsd:double"&gt;3.3&lt;/D&gt;&lt;D xsi:type="xsd:double"&gt;3.0987&lt;/D&gt;&lt;/FQL&gt;&lt;FQL&gt;&lt;Q&gt;CAGDPY@PE^EE_ACTUAL_ANNUAL(MED,0)&lt;/Q&gt;&lt;R&gt;1&lt;/R&gt;&lt;C&gt;1&lt;/C&gt;&lt;D xsi:type="xsd:double"&gt;0.830176564820384&lt;/D&gt;&lt;/FQL&gt;&lt;FQL&gt;&lt;Q&gt;USDVND^STD(FG_PRICE_CHANGE(0,-3AY,M))&lt;/Q&gt;&lt;R&gt;1&lt;/R&gt;&lt;C&gt;1&lt;/C&gt;&lt;D xsi:type="xsd:double"&gt;1.28009702080718&lt;/D&gt;&lt;/FQL&gt;&lt;FQL&gt;&lt;Q&gt;USDZAR^STD(FG_PRICE_CHANGE(0,-1AY,AM))&lt;/Q&gt;&lt;R&gt;1&lt;/R&gt;&lt;C&gt;1&lt;/C&gt;&lt;D xsi:type="xsd:double"&gt;2.79503333499032&lt;/D&gt;&lt;/FQL&gt;&lt;FQL&gt;&lt;Q&gt;USDMXN^FG_COMPANY_NAME&lt;/Q&gt;&lt;R&gt;1&lt;/R&gt;&lt;C&gt;1&lt;/C&gt;&lt;D xsi:type="xsd:string"&gt;Mexican Peso per U.S. Dollar&lt;/D&gt;&lt;/FQL&gt;&lt;FQL&gt;&lt;Q&gt;USDCNH^STD(FG_PRICE_CHANGE(0,-3AY,M))&lt;/Q&gt;&lt;R&gt;1&lt;/R&gt;&lt;C&gt;1&lt;/C&gt;&lt;D xsi:type="xsd:double"&gt;1.74477924824209&lt;/D&gt;&lt;/FQL&gt;&lt;FQL&gt;&lt;Q&gt;CNYA^FG_TOTAL_RETURNC(-10AY,0,AM)&lt;/Q&gt;&lt;R&gt;121&lt;/R&gt;&lt;C&gt;1&lt;/C&gt;&lt;D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xsi:type="xsd:double"&gt;6.3408732&lt;/D&gt;&lt;D xsi:type="xsd:double"&gt;2.7724981&lt;/D&gt;&lt;D xsi:type="xsd:double"&gt;-3.1042159&lt;/D&gt;&lt;D xsi:type="xsd:double"&gt;0.9916067&lt;/D&gt;&lt;D xsi:type="xsd:double"&gt;0.11329651&lt;/D&gt;&lt;D xsi:type="xsd:double"&gt;-1.9238055&lt;/D&gt;&lt;D xsi:type="xsd:double"&gt;-2.8797925&lt;/D&gt;&lt;D xsi:type="xsd:double"&gt;4.735148&lt;/D&gt;&lt;D xsi:type="xsd:double"&gt;0.8812189&lt;/D&gt;&lt;D xsi:type="xsd:double"&gt;0.55069923&lt;/D&gt;&lt;D xsi:type="xsd:double"&gt;-1.5675187&lt;/D&gt;&lt;D xsi:type="xsd:double"&gt;4.873371&lt;/D&gt;&lt;D xsi:type="xsd:double"&gt;6.439996&lt;/D&gt;&lt;D xsi:type="xsd:double"&gt;1.4152527&lt;/D&gt;&lt;D xsi:type="xsd:double"&gt;4.258001&lt;/D&gt;&lt;D xsi:type="xsd:double"&gt;1.5311241&lt;/D&gt;&lt;D xsi:type="xsd:double"&gt;3.1681657&lt;/D&gt;&lt;D xsi:type="xsd:double"&gt;-1.4205635&lt;/D&gt;&lt;D xsi:type="xsd:double"&gt;9.441614&lt;/D&gt;&lt;D xsi:type="xsd:double"&gt;-3.5685778&lt;/D&gt;&lt;D xsi:type="xsd:double"&gt;-0.7536948&lt;/D&gt;&lt;D xsi:type="xsd:double"&gt;-4.7949553&lt;/D&gt;&lt;D xsi:type="xsd:double"&gt;1.0162234&lt;/D&gt;&lt;D xsi:type="xsd:double"&gt;-7.090473&lt;/D&gt;&lt;D xsi:type="xsd:double"&gt;-9.675765&lt;/D&gt;&lt;D xsi:type="xsd:double"&gt;-3.9059162&lt;/D&gt;&lt;D xsi:type="xsd:double"&gt;1.5480995&lt;/D&gt;&lt;D xsi:type="xsd:double"&gt;-7.099324&lt;/D&gt;&lt;D xsi:type="xsd:double"&gt;4.286504&lt;/D&gt;&lt;D xsi:type="xsd:double"&gt;-4.9996614&lt;/D&gt;&lt;D xsi:type="xsd:double"&gt;6.1726093&lt;/D&gt;&lt;D xsi:type="xsd:double"&gt;8.432257&lt;/D&gt;&lt;D xsi:type="xsd:double"&gt;10.49453&lt;/D&gt;&lt;D xsi:type="xsd:double"&gt;6.7646027&lt;/D&gt;&lt;D xsi:type="xsd:double"&gt;-13.952005&lt;/D&gt;&lt;D xsi:type="xsd:double"&gt;3.260982&lt;/D&gt;&lt;D xsi:type="xsd:double"&gt;2.1338105&lt;/D&gt;&lt;D xsi:type="xsd:double"&gt;-2.0892382&lt;/D&gt;&lt;D xsi:type="xsd:double"&gt;3.5511851&lt;/D&gt;&lt;D xsi:type="xsd:double"&gt;-0.60038567&lt;/D&gt;&lt;D xsi:type="xsd:double"&gt;2.283907&lt;/D&gt;&lt;D xsi:type="xsd:double"&gt;3.1348705&lt;/D&gt;&lt;D xsi:type="xsd:double"&gt;5.9969783&lt;/D&gt;&lt;D xsi:type="xsd:double"&gt;-3.8668752&lt;/D&gt;&lt;D xsi:type="xsd:double"&gt;-10.814375&lt;/D&gt;&lt;D xsi:type="xsd:double"&gt;5.951941&lt;/D&gt;&lt;D xsi:type="xsd:double"&gt;2.5122046&lt;/D&gt;&lt;D xsi:type="xsd:double"&gt;4.96403&lt;/D&gt;&lt;D xsi:type="xsd:double"&gt;14.925707&lt;/D&gt;&lt;D xsi:type="xsd:double"&gt;4.7551513&lt;/D&gt;&lt;D xsi:type="xsd:double"&gt;0.9997368&lt;/D&gt;&lt;D xsi:type="xsd:double"&gt;2.1936893&lt;/D&gt;&lt;D xsi:type="xsd:double"&gt;4.60732&lt;/D&gt;&lt;D xsi:type="xsd:double"&gt;3.4279466&lt;/D&gt;&lt;D xsi:type="xsd:double"&gt;8.7381&lt;/D&gt;&lt;D xsi:type="xsd:double"&gt;7.6610565&lt;/D&gt;&lt;D xsi:type="xsd:double"&gt;-14.308953&lt;/D&gt;&lt;D xsi:type="xsd:double"&gt;0.8515835&lt;/D&gt;&lt;D xsi:type="xsd:double"&gt;4.101324&lt;/D&gt;&lt;D xsi:type="xsd:double"&gt;-0.7648885&lt;/D&gt;&lt;D xsi:type="xsd:double"&gt;1.5672445&lt;/D&gt;&lt;D xsi:type="xsd:double"&gt;-2.9479504&lt;/D&gt;&lt;D xsi:type="xsd:double"&gt;0.40341616&lt;/D&gt;&lt;D xsi:type="xsd:double"&gt;3.6246777&lt;/D&gt;&lt;D xsi:type="xsd:double"&gt;-1.239866&lt;/D&gt;&lt;D xsi:type="xsd:double"&gt;1.3639092&lt;/D&gt;&lt;D xsi:type="xsd:double"&gt;-3.426081&lt;/D&gt;&lt;D xsi:type="xsd:double"&gt;-2.976191&lt;/D&gt;&lt;D xsi:type="xsd:double"&gt;-6.7239285&lt;/D&gt;&lt;D xsi:type="xsd:double"&gt;-5.9458017&lt;/D&gt;&lt;D xsi:type="xsd:double"&gt;-6.097901&lt;/D&gt;&lt;D xsi:type="xsd:double"&gt;8.692956&lt;/D&gt;&lt;D xsi:type="xsd:double"&gt;-0.6864369&lt;/D&gt;&lt;D xsi:type="xsd:double"&gt;-3.8429618&lt;/D&gt;&lt;D xsi:type="xsd:double"&gt;-7.3318005&lt;/D&gt;&lt;D xsi:type="xsd:double"&gt;-7.2913465&lt;/D&gt;&lt;D xsi:type="xsd:double"&gt;3.5036922&lt;/D&gt;&lt;D xsi:type="xsd:double"&gt;2.8137803&lt;/D&gt;&lt;D xsi:type="xsd:double"&gt;10.5022545&lt;/D&gt;&lt;D xsi:type="xsd:double"&gt;-4.664445&lt;/D&gt;&lt;D xsi:type="xsd:double"&gt;-3.119266&lt;/D&gt;&lt;D xsi:type="xsd:double"&gt;4.324496&lt;/D&gt;&lt;D xsi:type="xsd:double"&gt;-5.9001503&lt;/D&gt;&lt;D xsi:type="xsd:double"&gt;-1.8228471&lt;/D&gt;&lt;D xsi:type="xsd:double"&gt;-3.2162786&lt;/D&gt;&lt;D xsi:type="xsd:double"&gt;-3.3231616&lt;/D&gt;&lt;D xsi:type="xsd:double"&gt;-1.0873377&lt;/D&gt;&lt;D xsi:type="xsd:double"&gt;-5.4609957&lt;/D&gt;&lt;D xsi:type="xsd:double"&gt;3.648162&lt;/D&gt;&lt;D xsi:type="xsd:double"&gt;-4.496866&lt;/D&gt;&lt;D xsi:type="xsd:double"&gt;-3.7665844&lt;/D&gt;&lt;D xsi:type="xsd:double"&gt;4.0607095&lt;/D&gt;&lt;D xsi:type="xsd:double"&gt;5.163574&lt;/D&gt;&lt;D xsi:type="xsd:double"&gt;-1.83658&lt;/D&gt;&lt;D xsi:type="xsd:double"&gt;4.8491716&lt;/D&gt;&lt;D xsi:type="xsd:double"&gt;-4.1587353&lt;/D&gt;&lt;D xsi:type="xsd:double"&gt;-1.3719559&lt;/D&gt;&lt;/FQL&gt;&lt;FQL&gt;&lt;Q&gt;CNYA^FMA_PE(NTMA,-10AY,0,AM,"PORTAGG","MEANR")&lt;/Q&gt;&lt;R&gt;121&lt;/R&gt;&lt;C&gt;1&lt;/C&gt;&lt;D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xsi:type="xsd:double"&gt;13.7795237925988&lt;/D&gt;&lt;D xsi:type="xsd:double"&gt;14.0604734982002&lt;/D&gt;&lt;D xsi:type="xsd:double"&gt;13.6448531749523&lt;/D&gt;&lt;D xsi:type="xsd:double"&gt;13.7466128861791&lt;/D&gt;&lt;D xsi:type="xsd:double"&gt;14.0313431092834&lt;/D&gt;&lt;D xsi:type="xsd:double"&gt;13.3793023227561&lt;/D&gt;&lt;D xsi:type="xsd:double"&gt;13.1062087689697&lt;/D&gt;&lt;D xsi:type="xsd:double"&gt;13.0546129871036&lt;/D&gt;&lt;D xsi:type="xsd:double"&gt;13.2259543670698&lt;/D&gt;&lt;D xsi:type="xsd:double"&gt;13.302211414259&lt;/D&gt;&lt;D xsi:type="xsd:double"&gt;13.2450697404546&lt;/D&gt;&lt;D xsi:type="xsd:double"&gt;13.9295961967294&lt;/D&gt;&lt;D xsi:type="xsd:double"&gt;14.2190568037208&lt;/D&gt;&lt;D xsi:type="xsd:double"&gt;13.935452134058&lt;/D&gt;&lt;D xsi:type="xsd:double"&gt;14.2972634560715&lt;/D&gt;&lt;D xsi:type="xsd:double"&gt;14.3811788259333&lt;/D&gt;&lt;D xsi:type="xsd:double"&gt;14.6994706423242&lt;/D&gt;&lt;D xsi:type="xsd:double"&gt;13.8745260998345&lt;/D&gt;&lt;D xsi:type="xsd:double"&gt;14.3523970210338&lt;/D&gt;&lt;D xsi:type="xsd:double"&gt;13.1143327651753&lt;/D&gt;&lt;D xsi:type="xsd:double"&gt;13.271176548913&lt;/D&gt;&lt;D xsi:type="xsd:double"&gt;12.4324930365046&lt;/D&gt;&lt;D xsi:type="xsd:double"&gt;11.9740349862006&lt;/D&gt;&lt;D xsi:type="xsd:double"&gt;11.2736509768178&lt;/D&gt;&lt;D xsi:type="xsd:double"&gt;10.4363965581601&lt;/D&gt;&lt;D xsi:type="xsd:double"&gt;9.71449696073343&lt;/D&gt;&lt;D xsi:type="xsd:double"&gt;10.2110225838508&lt;/D&gt;&lt;D xsi:type="xsd:double"&gt;9.62403150477289&lt;/D&gt;&lt;D xsi:type="xsd:double"&gt;10.1065985540953&lt;/D&gt;&lt;D xsi:type="xsd:double"&gt;9.6894711668424&lt;/D&gt;&lt;D xsi:type="xsd:double"&gt;9.95436416604579&lt;/D&gt;&lt;D xsi:type="xsd:double"&gt;10.7489950112568&lt;/D&gt;&lt;D xsi:type="xsd:double"&gt;11.6656303747151&lt;/D&gt;&lt;D xsi:type="xsd:double"&gt;12.2838449241526&lt;/D&gt;&lt;D xsi:type="xsd:double"&gt;10.9778770257638&lt;/D&gt;&lt;D xsi:type="xsd:double"&gt;11.5193982256928&lt;/D&gt;&lt;D xsi:type="xsd:double"&gt;11.5483177319225&lt;/D&gt;&lt;D xsi:type="xsd:double"&gt;11.5032494577675&lt;/D&gt;&lt;D xsi:type="xsd:double"&gt;11.9127465169258&lt;/D&gt;&lt;D xsi:type="xsd:double"&gt;11.6026054747239&lt;/D&gt;&lt;D xsi:type="xsd:double"&gt;11.6562242100619&lt;/D&gt;&lt;D xsi:type="xsd:double"&gt;12.5500167137812&lt;/D&gt;&lt;D xsi:type="xsd:double"&gt;12.90762020791&lt;/D&gt;&lt;D xsi:type="xsd:double"&gt;12.6951140656591&lt;/D&gt;&lt;D xsi:type="xsd:double"&gt;11.3475917172989&lt;/D&gt;&lt;D xsi:type="xsd:double"&gt;12.455873387261&lt;/D&gt;&lt;D xsi:type="xsd:double"&gt;13.2711899861025&lt;/D&gt;&lt;D xsi:type="xsd:double"&gt;14.0727415122576&lt;/D&gt;&lt;D xsi:type="xsd:double"&gt;15.5540283013947&lt;/D&gt;&lt;D xsi:type="xsd:double"&gt;16.0344655340755&lt;/D&gt;&lt;D xsi:type="xsd:double"&gt;16.2200674867201&lt;/D&gt;&lt;D xsi:type="xsd:double"&gt;16.0123478752303&lt;/D&gt;&lt;D xsi:type="xsd:double"&gt;16.1463140312515&lt;/D&gt;&lt;D xsi:type="xsd:double"&gt;16.5760095373693&lt;/D&gt;&lt;D xsi:type="xsd:double"&gt;17.8617475168784&lt;/D&gt;&lt;D xsi:type="xsd:double"&gt;18.8120048667419&lt;/D&gt;&lt;D xsi:type="xsd:double"&gt;16.0034985991763&lt;/D&gt;&lt;D xsi:type="xsd:double"&gt;16.0977867534558&lt;/D&gt;&lt;D xsi:type="xsd:double"&gt;16.2926343781617&lt;/D&gt;&lt;D xsi:type="xsd:double"&gt;16.2746684357029&lt;/D&gt;&lt;D xsi:type="xsd:double"&gt;16.0605966753466&lt;/D&gt;&lt;D xsi:type="xsd:double"&gt;15.2502025740678&lt;/D&gt;&lt;D xsi:type="xsd:double"&gt;15.3417551092579&lt;/D&gt;&lt;D xsi:type="xsd:double"&gt;15.4207250177975&lt;/D&gt;&lt;D xsi:type="xsd:double"&gt;15.2657615391388&lt;/D&gt;&lt;D xsi:type="xsd:double"&gt;15.4946778605342&lt;/D&gt;&lt;D xsi:type="xsd:double"&gt;14.6372918974422&lt;/D&gt;&lt;D xsi:type="xsd:double"&gt;14.0004813171863&lt;/D&gt;&lt;D xsi:type="xsd:double"&gt;12.8974504496834&lt;/D&gt;&lt;D xsi:type="xsd:double"&gt;12.5198016741696&lt;/D&gt;&lt;D xsi:type="xsd:double"&gt;12.4934596373943&lt;/D&gt;&lt;D xsi:type="xsd:double"&gt;13.3307181326671&lt;/D&gt;&lt;D xsi:type="xsd:double"&gt;13.1559454616678&lt;/D&gt;&lt;D xsi:type="xsd:double"&gt;12.7315249578555&lt;/D&gt;&lt;D xsi:type="xsd:double"&gt;12.0287701283545&lt;/D&gt;&lt;D xsi:type="xsd:double"&gt;11.5114341963624&lt;/D&gt;&lt;D xsi:type="xsd:double"&gt;11.7880375434481&lt;/D&gt;&lt;D xsi:type="xsd:double"&gt;11.8830574923928&lt;/D&gt;&lt;D xsi:type="xsd:double"&gt;12.5700080357729&lt;/D&gt;&lt;D xsi:type="xsd:double"&gt;12.1934612562315&lt;/D&gt;&lt;D xsi:type="xsd:double"&gt;11.7621502383535&lt;/D&gt;&lt;D xsi:type="xsd:double"&gt;12.4363684510254&lt;/D&gt;&lt;D xsi:type="xsd:double"&gt;11.9860629647883&lt;/D&gt;&lt;D xsi:type="xsd:double"&gt;12.2309796001092&lt;/D&gt;&lt;D xsi:type="xsd:double"&gt;11.7780008183866&lt;/D&gt;&lt;D xsi:type="xsd:double"&gt;11.7032971848629&lt;/D&gt;&lt;D xsi:type="xsd:double"&gt;11.7924867177658&lt;/D&gt;&lt;D xsi:type="xsd:double"&gt;11.0794211909318&lt;/D&gt;&lt;D xsi:type="xsd:double"&gt;11.6361827218292&lt;/D&gt;&lt;D xsi:type="xsd:double"&gt;11.1250601292007&lt;/D&gt;&lt;D xsi:type="xsd:double"&gt;10.733879569968&lt;/D&gt;&lt;D xsi:type="xsd:double"&gt;11.0487646365579&lt;/D&gt;&lt;D xsi:type="xsd:double"&gt;11.8117815691057&lt;/D&gt;&lt;D xsi:type="xsd:double"&gt;12.2048153898096&lt;/D&gt;&lt;D xsi:type="xsd:double"&gt;12.9994453662387&lt;/D&gt;&lt;D xsi:type="xsd:double"&gt;12.3623374186182&lt;/D&gt;&lt;D xsi:type="xsd:double"&gt;11.9711810989523&lt;/D&gt;&lt;/FQL&gt;&lt;FQL&gt;&lt;Q&gt;EIDO^FMA_PE(LTMA,-10AY,0,AM,"PORTAGG","MEANR")&lt;/Q&gt;&lt;R&gt;121&lt;/R&gt;&lt;C&gt;1&lt;/C&gt;&lt;D xsi:type="xsd:double"&gt;15.8008753441489&lt;/D&gt;&lt;D xsi:type="xsd:double"&gt;15.9358580394444&lt;/D&gt;&lt;D xsi:type="xsd:double"&gt;16.0317128976108&lt;/D&gt;&lt;D xsi:type="xsd:double"&gt;15.896663151606&lt;/D&gt;&lt;D xsi:type="xsd:double"&gt;16.2032835815295&lt;/D&gt;&lt;D xsi:type="xsd:double"&gt;16.7248702390726&lt;/D&gt;&lt;D xsi:type="xsd:double"&gt;16.6690620800283&lt;/D&gt;&lt;D xsi:type="xsd:double"&gt;17.7352464579161&lt;/D&gt;&lt;D xsi:type="xsd:double"&gt;17.9199896403371&lt;/D&gt;&lt;D xsi:type="xsd:double"&gt;17.8008324346129&lt;/D&gt;&lt;D xsi:type="xsd:double"&gt;17.5397437765244&lt;/D&gt;&lt;D xsi:type="xsd:double"&gt;17.1203405899297&lt;/D&gt;&lt;D xsi:type="xsd:double"&gt;16.8268583675978&lt;/D&gt;&lt;D xsi:type="xsd:double"&gt;15.8384283827367&lt;/D&gt;&lt;D xsi:type="xsd:double"&gt;15.8215603905147&lt;/D&gt;&lt;D xsi:type="xsd:double"&gt;16.5572512748057&lt;/D&gt;&lt;D xsi:type="xsd:double"&gt;16.3578484292922&lt;/D&gt;&lt;D xsi:type="xsd:double"&gt;15.7986612129838&lt;/D&gt;&lt;D xsi:type="xsd:double"&gt;15.8838380750493&lt;/D&gt;&lt;D xsi:type="xsd:double"&gt;16.3956459991387&lt;/D&gt;&lt;D xsi:type="xsd:double"&gt;16.8355097600451&lt;/D&gt;&lt;D xsi:type="xsd:double"&gt;16.6841445572267&lt;/D&gt;&lt;D xsi:type="xsd:double"&gt;16.2789836466093&lt;/D&gt;&lt;D xsi:type="xsd:double"&gt;16.5335784164228&lt;/D&gt;&lt;D xsi:type="xsd:double"&gt;17.336281355906&lt;/D&gt;&lt;D xsi:type="xsd:double"&gt;17.9352524819696&lt;/D&gt;&lt;D xsi:type="xsd:double"&gt;17.7822088698881&lt;/D&gt;&lt;D xsi:type="xsd:double"&gt;18.2642159715378&lt;/D&gt;&lt;D xsi:type="xsd:double"&gt;17.1159082846515&lt;/D&gt;&lt;D xsi:type="xsd:double"&gt;17.2143384318739&lt;/D&gt;&lt;D xsi:type="xsd:double"&gt;17.776893428836&lt;/D&gt;&lt;D xsi:type="xsd:double"&gt;17.5651246521615&lt;/D&gt;&lt;D xsi:type="xsd:double"&gt;17.5090147983414&lt;/D&gt;&lt;D xsi:type="xsd:double"&gt;17.3250756320395&lt;/D&gt;&lt;D xsi:type="xsd:double"&gt;17.4673176489802&lt;/D&gt;&lt;D xsi:type="xsd:double"&gt;17.2761764600183&lt;/D&gt;&lt;D xsi:type="xsd:double"&gt;17.2910429785075&lt;/D&gt;&lt;D xsi:type="xsd:double"&gt;17.3356003359079&lt;/D&gt;&lt;D xsi:type="xsd:double"&gt;17.2373037890856&lt;/D&gt;&lt;D xsi:type="xsd:double"&gt;17.1925832471373&lt;/D&gt;&lt;D xsi:type="xsd:double"&gt;17.3364580759484&lt;/D&gt;&lt;D xsi:type="xsd:double"&gt;17.3832959158697&lt;/D&gt;&lt;D xsi:type="xsd:double"&gt;18.3163900321008&lt;/D&gt;&lt;D xsi:type="xsd:double"&gt;17.8494631541533&lt;/D&gt;&lt;D xsi:type="xsd:double"&gt;17.4187387150122&lt;/D&gt;&lt;D xsi:type="xsd:double"&gt;17.2927017142385&lt;/D&gt;&lt;D xsi:type="xsd:double"&gt;16.4068307984122&lt;/D&gt;&lt;D xsi:type="xsd:double"&gt;16.2309192179133&lt;/D&gt;&lt;D xsi:type="xsd:double"&gt;15.6585540281853&lt;/D&gt;&lt;D xsi:type="xsd:double"&gt;15.5591073194015&lt;/D&gt;&lt;D xsi:type="xsd:double"&gt;15.3805894466232&lt;/D&gt;&lt;D xsi:type="xsd:double"&gt;15.0998995876632&lt;/D&gt;&lt;D xsi:type="xsd:double"&gt;15.5730685444595&lt;/D&gt;&lt;D xsi:type="xsd:double"&gt;15.6725949661741&lt;/D&gt;&lt;D xsi:type="xsd:double"&gt;16.4321237215147&lt;/D&gt;&lt;D xsi:type="xsd:double"&gt;16.0228837085212&lt;/D&gt;&lt;D xsi:type="xsd:double"&gt;15.8984981212149&lt;/D&gt;&lt;D xsi:type="xsd:double"&gt;15.755407035165&lt;/D&gt;&lt;D xsi:type="xsd:double"&gt;14.9630765985451&lt;/D&gt;&lt;D xsi:type="xsd:double"&gt;15.5571063918385&lt;/D&gt;&lt;D xsi:type="xsd:double"&gt;16.0889853142917&lt;/D&gt;&lt;D xsi:type="xsd:double"&gt;15.8983863602284&lt;/D&gt;&lt;D xsi:type="xsd:double"&gt;15.9133393356761&lt;/D&gt;&lt;D xsi:type="xsd:double"&gt;15.9073852043594&lt;/D&gt;&lt;D xsi:type="xsd:double"&gt;16.2969098186703&lt;/D&gt;&lt;D xsi:type="xsd:double"&gt;16.6286110235553&lt;/D&gt;&lt;D xsi:type="xsd:double"&gt;17.5387959446629&lt;/D&gt;&lt;D xsi:type="xsd:double"&gt;16.5280556144002&lt;/D&gt;&lt;D xsi:type="xsd:double"&gt;14.095745377688&lt;/D&gt;&lt;D xsi:type="xsd:double"&gt;14.2248862429531&lt;/D&gt;&lt;D xsi:type="xsd:double"&gt;14.531475316405&lt;/D&gt;&lt;D xsi:type="xsd:double"&gt;16.608258548218&lt;/D&gt;&lt;D xsi:type="xsd:double"&gt;17.2319971061429&lt;/D&gt;&lt;D xsi:type="xsd:double"&gt;18.4616369780287&lt;/D&gt;&lt;D xsi:type="xsd:double"&gt;18.3574341808895&lt;/D&gt;&lt;D xsi:type="xsd:double"&gt;19.661410764475&lt;/D&gt;&lt;D xsi:type="xsd:double"&gt;22.4820703368845&lt;/D&gt;&lt;D xsi:type="xsd:double"&gt;26.1366572111221&lt;/D&gt;&lt;D xsi:type="xsd:double"&gt;25.5609159417375&lt;/D&gt;&lt;D xsi:type="xsd:double"&gt;24.3868148531405&lt;/D&gt;&lt;D xsi:type="xsd:double"&gt;23.748731861688&lt;/D&gt;&lt;D xsi:type="xsd:double"&gt;22.9286331467343&lt;/D&gt;&lt;D xsi:type="xsd:double"&gt;21.8793696444713&lt;/D&gt;&lt;D xsi:type="xsd:double"&gt;21.2456348424985&lt;/D&gt;&lt;D xsi:type="xsd:double"&gt;20.3028434135187&lt;/D&gt;&lt;D xsi:type="xsd:double"&gt;19.8762661222757&lt;/D&gt;&lt;D xsi:type="xsd:double"&gt;19.3301172558643&lt;/D&gt;&lt;D xsi:type="xsd:double"&gt;19.6714894916335&lt;/D&gt;&lt;D xsi:type="xsd:double"&gt;18.2324556303385&lt;/D&gt;&lt;D xsi:type="xsd:double"&gt;17.1385322857975&lt;/D&gt;&lt;D xsi:type="xsd:double"&gt;16.7910581891277&lt;/D&gt;&lt;D xsi:type="xsd:double"&gt;17.3597099162817&lt;/D&gt;&lt;D xsi:type="xsd:double"&gt;17.2868471202973&lt;/D&gt;&lt;D xsi:type="xsd:double"&gt;16.8832077582505&lt;/D&gt;&lt;D xsi:type="xsd:double"&gt;16.2446273405451&lt;/D&gt;&lt;D xsi:type="xsd:double"&gt;15.5724900914472&lt;/D&gt;&lt;D xsi:type="xsd:double"&gt;14.9278197562075&lt;/D&gt;&lt;D xsi:type="xsd:double"&gt;14.8824117340719&lt;/D&gt;&lt;D xsi:type="xsd:double"&gt;14.6825526050302&lt;/D&gt;&lt;D xsi:type="xsd:double"&gt;13.6326881664671&lt;/D&gt;&lt;D xsi:type="xsd:double"&gt;13.3133602371159&lt;/D&gt;&lt;D xsi:type="xsd:double"&gt;12.6558255136487&lt;/D&gt;&lt;D xsi:type="xsd:double"&gt;12.2856059739704&lt;/D&gt;&lt;D xsi:type="xsd:double"&gt;12.4240757531019&lt;/D&gt;&lt;D xsi:type="xsd:double"&gt;11.9869557790695&lt;/D&gt;&lt;D xsi:type="xsd:double"&gt;12.1509028403726&lt;/D&gt;&lt;D xsi:type="xsd:double"&gt;12.1113418824414&lt;/D&gt;&lt;D xsi:type="xsd:double"&gt;13.0402822902539&lt;/D&gt;&lt;D xsi:type="xsd:double"&gt;13.2076361924411&lt;/D&gt;&lt;D xsi:type="xsd:double"&gt;13.3924293814394&lt;/D&gt;&lt;D xsi:type="xsd:double"&gt;13.5190485369484&lt;/D&gt;&lt;D xsi:type="xsd:double"&gt;13.0106165473851&lt;/D&gt;&lt;D xsi:type="xsd:double"&gt;13.2817878271498&lt;/D&gt;&lt;D xsi:type="xsd:double"&gt;13.7100861032633&lt;/D&gt;&lt;D xsi:type="xsd:double"&gt;13.9986317034359&lt;/D&gt;&lt;D xsi:type="xsd:double"&gt;14.443967535811&lt;/D&gt;&lt;D xsi:type="xsd:double"&gt;14.1501773864898&lt;/D&gt;&lt;D xsi:type="xsd:double"&gt;13.7394723866953&lt;/D&gt;&lt;D xsi:type="xsd:double"&gt;13.6818584635477&lt;/D&gt;&lt;D xsi:type="xsd:double"&gt;13.2793791629757&lt;/D&gt;&lt;D xsi:type="xsd:double"&gt;13.5563500281847&lt;/D&gt;&lt;/FQL&gt;&lt;FQL&gt;&lt;Q&gt;PASP-FDS^FG_PRICE_CHANGE(0,-1AY)&lt;/Q&gt;&lt;R&gt;1&lt;/R&gt;&lt;C&gt;1&lt;/C&gt;&lt;D xsi:type="xsd:double"&gt;-27.2727272727273&lt;/D&gt;&lt;/FQL&gt;&lt;FQL&gt;&lt;Q&gt;PLATI-FDS^FG_PRICE_CHANGE(0,-1AM)&lt;/Q&gt;&lt;R&gt;1&lt;/R&gt;&lt;C&gt;1&lt;/C&gt;&lt;D xsi:type="xsd:double"&gt;3.09278350515463&lt;/D&gt;&lt;/FQL&gt;&lt;FQL&gt;&lt;Q&gt;BRENT-FDS^MAX(FG_PRICE(0,-5AY))&lt;/Q&gt;&lt;R&gt;1&lt;/R&gt;&lt;C&gt;1&lt;/C&gt;&lt;D xsi:type="xsd:double"&gt;140.85&lt;/D&gt;&lt;/FQL&gt;&lt;FQL&gt;&lt;Q&gt;FC0000ZA^FG_PRICE(0)&lt;/Q&gt;&lt;R&gt;1&lt;/R&gt;&lt;C&gt;1&lt;/C&gt;&lt;D xsi:type="xsd:double"&gt;336.19635&lt;/D&gt;&lt;/FQL&gt;&lt;FQL&gt;&lt;Q&gt;INDA^FG_PRICE(0)&lt;/Q&gt;&lt;R&gt;1&lt;/R&gt;&lt;C&gt;1&lt;/C&gt;&lt;D xsi:type="xsd:double"&gt;56.18&lt;/D&gt;&lt;/FQL&gt;&lt;FQL&gt;&lt;Q&gt;EWW^FG_PRICE_MAVG(0,,,,30)&lt;/Q&gt;&lt;R&gt;1&lt;/R&gt;&lt;C&gt;1&lt;/C&gt;&lt;D xsi:type="xsd:double"&gt;57.874&lt;/D&gt;&lt;/FQL&gt;&lt;FQL&gt;&lt;Q&gt;EPHE^FG_PRICE_MAVG(0,,,,60)&lt;/Q&gt;&lt;R&gt;1&lt;/R&gt;&lt;C&gt;1&lt;/C&gt;&lt;D xsi:type="xsd:double"&gt;24.949667&lt;/D&gt;&lt;/FQL&gt;&lt;FQL&gt;&lt;Q&gt;UAE^FMA_PCT_ABOVE_MAVG(200,0,,,,"PORTAGG")&lt;/Q&gt;&lt;R&gt;1&lt;/R&gt;&lt;C&gt;1&lt;/C&gt;&lt;D xsi:type="xsd:double"&gt;29.7297297297297&lt;/D&gt;&lt;/FQL&gt;&lt;FQL&gt;&lt;Q&gt;QAT^FG_TOTAL_RETURNC(0,-12AM)&lt;/Q&gt;&lt;R&gt;1&lt;/R&gt;&lt;C&gt;1&lt;/C&gt;&lt;D xsi:type="xsd:double"&gt;-1.6267061&lt;/D&gt;&lt;/FQL&gt;&lt;FQL&gt;&lt;Q&gt;INDA^P_PRICE(0)/P_PRICE_LOW_PR(0,,,,,,"PRICE","INTRA","52W")-1&lt;/Q&gt;&lt;R&gt;1&lt;/R&gt;&lt;C&gt;1&lt;/C&gt;&lt;D xsi:type="xsd:double"&gt;0.31661594&lt;/D&gt;&lt;/FQL&gt;&lt;FQL&gt;&lt;Q&gt;EWY^FG_TOTAL_RETURNC(0,-3AM)&lt;/Q&gt;&lt;R&gt;1&lt;/R&gt;&lt;C&gt;1&lt;/C&gt;&lt;D xsi:type="xsd:double"&gt;6.3763976&lt;/D&gt;&lt;/FQL&gt;&lt;FQL&gt;&lt;Q&gt;EWT^PERCENT_CHANGE(FMA_EPS(+1,0,,,,"PORTAGG","MEAN"),FMA_EPS(+1,-3AM,,,,"PORTAGG","MEAN"))&lt;/Q&gt;&lt;R&gt;1&lt;/R&gt;&lt;C&gt;1&lt;/C&gt;&lt;D xsi:type="xsd:double"&gt;4.32038970486321&lt;/D&gt;&lt;/FQL&gt;&lt;FQL&gt;&lt;Q&gt;EPHE^PERCENT_CHANGE(FMA_EPS(+1,0,,,,"PORTAGG","MEAN"),FMA_EPS(+1,-1AM,,,,"PORTAGG","MEAN"))&lt;/Q&gt;&lt;R&gt;1&lt;/R&gt;&lt;C&gt;1&lt;/C&gt;&lt;D xsi:type="xsd:double"&gt;-3.15995026742343&lt;/D&gt;&lt;/FQL&gt;&lt;FQL&gt;&lt;Q&gt;ECH^FMA_PCT_ABOVE_MAVG(200,0,,,,"PORTAGG")&lt;/Q&gt;&lt;R&gt;1&lt;/R&gt;&lt;C&gt;1&lt;/C&gt;&lt;D xsi:type="xsd:double"&gt;65.5172413793103&lt;/D&gt;&lt;/FQL&gt;&lt;FQL&gt;&lt;Q&gt;URTH^P_PRICE(0)/P_PRICE_LOW_PR(0,,,,,,"PRICE","INTRA","52W")-1&lt;/Q&gt;&lt;R&gt;1&lt;/R&gt;&lt;C&gt;1&lt;/C&gt;&lt;D xsi:type="xsd:double"&gt;0.3006103&lt;/D&gt;&lt;/FQL&gt;&lt;FQL&gt;&lt;Q&gt;URTH^PERCENT_CHANGE(FMA_EPS(+1,0,,,,"PORTAGG","MEAN"),FMA_EPS(+1,-1AM,,,,"PORTAGG","MEAN"))&lt;/Q&gt;&lt;R&gt;1&lt;/R&gt;&lt;C&gt;1&lt;/C&gt;&lt;D xsi:type="xsd:double"&gt;0.0361438279441104&lt;/D&gt;&lt;/FQL&gt;&lt;FQL&gt;&lt;Q&gt;QAT^FMA_RBICS_REV_CURRENT(30, LOC, "PORTAGG")&lt;/Q&gt;&lt;R&gt;1&lt;/R&gt;&lt;C&gt;1&lt;/C&gt;&lt;D xsi:type="xsd:double"&gt;60.191004934348&lt;/D&gt;&lt;/FQL&gt;&lt;FQL&gt;&lt;Q&gt;REFTR1WREPO-FDS^PROPER_NAME(0,,,"SECURITY","NAME")&lt;/Q&gt;&lt;R&gt;1&lt;/R&gt;&lt;C&gt;1&lt;/C&gt;&lt;D xsi:type="xsd:string"&gt;Turkey Repo Rate - 1 Week&lt;/D&gt;&lt;/FQL&gt;&lt;FQL&gt;&lt;Q&gt;REFZAREPO-FDS^FG_YIELD(NOW,,,0)&lt;/Q&gt;&lt;R&gt;1&lt;/R&gt;&lt;C&gt;1&lt;/C&gt;&lt;D xsi:type="xsd:double"&gt;8.25&lt;/D&gt;&lt;/FQL&gt;&lt;FQL&gt;&lt;Q&gt;EWY^JULIAN(FMA_DIV_YLD(NTMA,NOW,NOW,M,"PORTAGG","MEANR").DATES)&lt;/Q&gt;&lt;R&gt;1&lt;/R&gt;&lt;C&gt;1&lt;/C&gt;&lt;D xsi:type="xsd:long"&gt;45471&lt;/D&gt;&lt;/FQL&gt;&lt;FQL&gt;&lt;Q&gt;EWM^FG_FCF_YIELD_NTM(0)&lt;/Q&gt;&lt;R&gt;1&lt;/R&gt;&lt;C&gt;1&lt;/C&gt;&lt;D xsi:type="xsd:double"&gt;5.8116811061615&lt;/D&gt;&lt;/FQL&gt;&lt;FQL&gt;&lt;Q&gt;ECH^FMA_EVAL_EBITDA(NTMA,0,,,"PORTAGG","MEANR")&lt;/Q&gt;&lt;R&gt;1&lt;/R&gt;&lt;C&gt;1&lt;/C&gt;&lt;D xsi:type="xsd:double"&gt;6.16114579663442&lt;/D&gt;&lt;/FQL&gt;&lt;FQL&gt;&lt;Q&gt;UAE^FMA_EVAL_EBITDA(NTMA,0,,,"PORTAGG","MEANR")&lt;/Q&gt;&lt;R&gt;1&lt;/R&gt;&lt;C&gt;1&lt;/C&gt;&lt;D xsi:type="xsd:double"&gt;5.92784654329344&lt;/D&gt;&lt;/FQL&gt;&lt;FQL&gt;&lt;Q&gt;SET-BKK^FMA_PE(NTMA,0,,,"PORTAGG","MEANR")&lt;/Q&gt;&lt;R&gt;1&lt;/R&gt;&lt;C&gt;1&lt;/C&gt;&lt;D xsi:type="xsd:double"&gt;13.5190261658133&lt;/D&gt;&lt;/FQL&gt;&lt;FQL&gt;&lt;Q&gt;INDA^FMA_EVAL_EBIT(LTMA,NOW,NOW,M,"PORTAGG","MEANR")&lt;/Q&gt;&lt;R&gt;1&lt;/R&gt;&lt;C&gt;1&lt;/C&gt;&lt;D xsi:type="xsd:double"&gt;23.0720625849092&lt;/D&gt;&lt;/FQL&gt;&lt;FQL&gt;&lt;Q&gt;EZA^FMA_DIV_YLD(NTMA,NOW,NOW,M,"PORTAGG","MEANR")&lt;/Q&gt;&lt;R&gt;1&lt;/R&gt;&lt;C&gt;1&lt;/C&gt;&lt;D xsi:type="xsd:double"&gt;4.02224585606881&lt;/D&gt;&lt;/FQL&gt;&lt;FQL&gt;&lt;Q&gt;EWM^FMA_DIV_YLD(NTMA,NOW,NOW,M,"PORTAGG","MEANR")&lt;/Q&gt;&lt;R&gt;1&lt;/R&gt;&lt;C&gt;1&lt;/C&gt;&lt;D xsi:type="xsd:double"&gt;4.14462999366469&lt;/D&gt;&lt;/FQL&gt;&lt;FQL&gt;&lt;Q&gt;EPOL^JULIAN(FMA_DIV_YLD(NTMA,NOW,NOW,M,"PORTAGG","MEANR").DATES)&lt;/Q&gt;&lt;R&gt;1&lt;/R&gt;&lt;C&gt;1&lt;/C&gt;&lt;D xsi:type="xsd:long"&gt;45471&lt;/D&gt;&lt;/FQL&gt;&lt;FQL&gt;&lt;Q&gt;TUR^FG_COMPANY_NAME&lt;/Q&gt;&lt;R&gt;1&lt;/R&gt;&lt;C&gt;1&lt;/C&gt;&lt;D xsi:type="xsd:string"&gt;iShares MSCI Turkey ETF&lt;/D&gt;&lt;/FQL&gt;&lt;FQL&gt;&lt;Q&gt;ECH^FG_COMPANY_NAME&lt;/Q&gt;&lt;R&gt;1&lt;/R&gt;&lt;C&gt;1&lt;/C&gt;&lt;D xsi:type="xsd:string"&gt;iShares MSCI Chile ETF&lt;/D&gt;&lt;/FQL&gt;&lt;FQL&gt;&lt;Q&gt;TRYPL10Y-FDS^FG_YIELD_NAME&lt;/Q&gt;&lt;R&gt;1&lt;/R&gt;&lt;C&gt;1&lt;/C&gt;&lt;D xsi:type="xsd:string"&gt;Treasury - Poland Benchmark Bond 10Y&lt;/D&gt;&lt;/FQL&gt;&lt;FQL&gt;&lt;Q&gt;ECH^FG_FCF_YIELD_NTM(0)&lt;/Q&gt;&lt;R&gt;1&lt;/R&gt;&lt;C&gt;1&lt;/C&gt;&lt;D xsi:type="xsd:double"&gt;10.3335709166714&lt;/D&gt;&lt;/FQL&gt;&lt;FQL&gt;&lt;Q&gt;TUR^FG_PRICE_MAVG(0,,,,200)&lt;/Q&gt;&lt;R&gt;1&lt;/R&gt;&lt;C&gt;1&lt;/C&gt;&lt;D xsi:type="xsd:double"&gt;37.607273&lt;/D&gt;&lt;/FQL&gt;&lt;FQL&gt;&lt;Q&gt;URTH^FG_TOTAL_RETURNC(0,-6AM)&lt;/Q&gt;&lt;R&gt;1&lt;/R&gt;&lt;C&gt;1&lt;/C&gt;&lt;D xsi:type="xsd:double"&gt;12.546182&lt;/D&gt;&lt;/FQL&gt;&lt;FQL&gt;&lt;Q&gt;VWO^PERCENT_CHANGE(FMA_EPS(+1,0,,,,"PORTAGG","MEAN"),FMA_EPS(+1,-3AM,,,,"PORTAGG","MEAN"))&lt;/Q&gt;&lt;R&gt;1&lt;/R&gt;&lt;C&gt;1&lt;/C&gt;&lt;D xsi:type="xsd:double"&gt;-0.341218134449791&lt;/D&gt;&lt;/FQL&gt;&lt;FQL&gt;&lt;Q&gt;QAT^SIZE(FG_CONSTITUENTS)&lt;/Q&gt;&lt;R&gt;1&lt;/R&gt;&lt;C&gt;1&lt;/C&gt;&lt;D xsi:type="xsd:long"&gt;35&lt;/D&gt;&lt;/FQL&gt;&lt;FQL&gt;&lt;Q&gt;EWY^SIZE(FG_CONSTITUENTS)&lt;/Q&gt;&lt;R&gt;1&lt;/R&gt;&lt;C&gt;1&lt;/C&gt;&lt;D xsi:type="xsd:long"&gt;100&lt;/D&gt;&lt;/FQL&gt;&lt;FQL&gt;&lt;Q&gt;EPHE^SIZE(FG_CONSTITUENTS)&lt;/Q&gt;&lt;R&gt;1&lt;/R&gt;&lt;C&gt;1&lt;/C&gt;&lt;D xsi:type="xsd:long"&gt;33&lt;/D&gt;&lt;/FQL&gt;&lt;FQL&gt;&lt;Q&gt;TRYSA10Y-FDS^PCTCHG(FG_YIELD(0,,,,"YTM"),FG_YIELD(-1AM,,,,"YTM"))&lt;/Q&gt;&lt;R&gt;1&lt;/R&gt;&lt;C&gt;1&lt;/C&gt;&lt;D xsi:type="xsd:double"&gt;-1.0375392&lt;/D&gt;&lt;/FQL&gt;&lt;FQL&gt;&lt;Q&gt;CC_SA^IMF_IFS_RCPI_Q(0)&lt;/Q&gt;&lt;R&gt;0&lt;/R&gt;&lt;C&gt;0&lt;/C&gt;&lt;/FQL&gt;&lt;FQL&gt;&lt;Q&gt;EWW^FMA_EVAL_EBITDA(NTMA,0,,,"PORTAGG","MEANR")&lt;/Q&gt;&lt;R&gt;1&lt;/R&gt;&lt;C&gt;1&lt;/C&gt;&lt;D xsi:type="xsd:double"&gt;5.96079284444611&lt;/D&gt;&lt;/FQL&gt;&lt;FQL&gt;&lt;Q&gt;QAT^FG_COMPANY_NAME&lt;/Q&gt;&lt;R&gt;1&lt;/R&gt;&lt;C&gt;1&lt;/C&gt;&lt;D xsi:type="xsd:string"&gt;iShares MSCI Qatar ETF&lt;/D&gt;&lt;/FQL&gt;&lt;FQL&gt;&lt;Q&gt;USDQAR^FG_PRICE_CHANGE(0,-6AM)&lt;/Q&gt;&lt;R&gt;1&lt;/R&gt;&lt;C&gt;1&lt;/C&gt;&lt;D xsi:type="xsd:double"&gt;0&lt;/D&gt;&lt;/FQL&gt;&lt;FQL&gt;&lt;Q&gt;USDPLN^FG_PRICE_CHANGE(0,-3AM)&lt;/Q&gt;&lt;R&gt;1&lt;/R&gt;&lt;C&gt;1&lt;/C&gt;&lt;D xsi:type="xsd:double"&gt;-2.6296914&lt;/D&gt;&lt;/FQL&gt;&lt;FQL&gt;&lt;Q&gt;FC0000PH^FMA_EPS(NTMA,-20AY,0,CY,,"PORTAGG","MEANR")&lt;/Q&gt;&lt;R&gt;20&lt;/R&gt;&lt;C&gt;1&lt;/C&gt;&lt;D xsi:type="xsd:double"&gt;8.59220082539698&lt;/D&gt;&lt;D xsi:type="xsd:double"&gt;10.2584058872744&lt;/D&gt;&lt;D xsi:type="xsd:double"&gt;13.4692809727856&lt;/D&gt;&lt;D xsi:type="xsd:double"&gt;18.2110568110308&lt;/D&gt;&lt;D xsi:type="xsd:double"&gt;13.0515502293789&lt;/D&gt;&lt;D xsi:type="xsd:double"&gt;16.0518603317777&lt;/D&gt;&lt;D xsi:type="xsd:double"&gt;24.4586496686729&lt;/D&gt;&lt;D xsi:type="xsd:double"&gt;25.9703873749774&lt;/D&gt;&lt;D xsi:type="xsd:double"&gt;28.0571210508876&lt;/D&gt;&lt;D xsi:type="xsd:double"&gt;26.0025463366439&lt;/D&gt;&lt;D xsi:type="xsd:double"&gt;28.3275730235173&lt;/D&gt;&lt;D xsi:type="xsd:double"&gt;26.2170868437055&lt;/D&gt;&lt;D xsi:type="xsd:double"&gt;26.5572871869144&lt;/D&gt;&lt;D xsi:type="xsd:double"&gt;30.208789832529&lt;/D&gt;&lt;D xsi:type="xsd:double"&gt;29.6177771378772&lt;/D&gt;&lt;D xsi:type="xsd:double"&gt;33.7587102374388&lt;/D&gt;&lt;D xsi:type="xsd:double"&gt;25.625710924974&lt;/D&gt;&lt;D xsi:type="xsd:double"&gt;24.8900071648497&lt;/D&gt;&lt;D xsi:type="xsd:double"&gt;26.8368786703138&lt;/D&gt;&lt;D xsi:type="xsd:double"&gt;30.8315679687197&lt;/D&gt;&lt;/FQL&gt;&lt;FQL&gt;&lt;Q&gt;CNYA^P_PRICE_RETURNS_PR('52W',2,-10AY,0,AM)&lt;/Q&gt;&lt;R&gt;121&lt;/R&gt;&lt;C&gt;1&lt;/C&gt;&lt;D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xsi:type="xsd:double"&gt;11.846876&lt;/D&gt;&lt;D xsi:type="xsd:double"&gt;11.951137&lt;/D&gt;&lt;D xsi:type="xsd:double"&gt;10.025417&lt;/D&gt;&lt;D xsi:type="xsd:double"&gt;18.86648&lt;/D&gt;&lt;D xsi:type="xsd:double"&gt;19.501484&lt;/D&gt;&lt;D xsi:type="xsd:double"&gt;22.043097&lt;/D&gt;&lt;D xsi:type="xsd:double"&gt;23.77987&lt;/D&gt;&lt;D xsi:type="xsd:double"&gt;39.483524&lt;/D&gt;&lt;D xsi:type="xsd:double"&gt;28.22832&lt;/D&gt;&lt;D xsi:type="xsd:double"&gt;26.343536&lt;/D&gt;&lt;D xsi:type="xsd:double"&gt;19.626629&lt;/D&gt;&lt;D xsi:type="xsd:double"&gt;23.144722&lt;/D&gt;&lt;D xsi:type="xsd:double"&gt;8.761597&lt;/D&gt;&lt;D xsi:type="xsd:double"&gt;-7.7056646&lt;/D&gt;&lt;D xsi:type="xsd:double"&gt;-12.518507&lt;/D&gt;&lt;D xsi:type="xsd:double"&gt;-14.821344&lt;/D&gt;&lt;D xsi:type="xsd:double"&gt;-22.061789&lt;/D&gt;&lt;D xsi:type="xsd:double"&gt;-21.216953&lt;/D&gt;&lt;D xsi:type="xsd:double"&gt;-24.077309&lt;/D&gt;&lt;D xsi:type="xsd:double"&gt;-25.682682&lt;/D&gt;&lt;D xsi:type="xsd:double"&gt;-17.178799&lt;/D&gt;&lt;D xsi:type="xsd:double"&gt;-7.7921333&lt;/D&gt;&lt;D xsi:type="xsd:double"&gt;3.7062764&lt;/D&gt;&lt;D xsi:type="xsd:double"&gt;-11.751211&lt;/D&gt;&lt;D xsi:type="xsd:double"&gt;-2.1049023&lt;/D&gt;&lt;D xsi:type="xsd:double"&gt;10.694551&lt;/D&gt;&lt;D xsi:type="xsd:double"&gt;12.787247&lt;/D&gt;&lt;D xsi:type="xsd:double"&gt;15.012037&lt;/D&gt;&lt;D xsi:type="xsd:double"&gt;26.621319&lt;/D&gt;&lt;D xsi:type="xsd:double"&gt;20.694733&lt;/D&gt;&lt;D xsi:type="xsd:double"&gt;31.029404&lt;/D&gt;&lt;D xsi:type="xsd:double"&gt;32.043922&lt;/D&gt;&lt;D xsi:type="xsd:double"&gt;15.974987&lt;/D&gt;&lt;D xsi:type="xsd:double"&gt;-6.390822&lt;/D&gt;&lt;D xsi:type="xsd:double"&gt;-7.337892&lt;/D&gt;&lt;D xsi:type="xsd:double"&gt;10.671258&lt;/D&gt;&lt;D xsi:type="xsd:double"&gt;12.496508&lt;/D&gt;&lt;D xsi:type="xsd:double"&gt;26.631142&lt;/D&gt;&lt;D xsi:type="xsd:double"&gt;35.43525&lt;/D&gt;&lt;D xsi:type="xsd:double"&gt;32.849407&lt;/D&gt;&lt;D xsi:type="xsd:double"&gt;35.811413&lt;/D&gt;&lt;D xsi:type="xsd:double"&gt;38.896393&lt;/D&gt;&lt;D xsi:type="xsd:double"&gt;39.455067&lt;/D&gt;&lt;D xsi:type="xsd:double"&gt;42.893208&lt;/D&gt;&lt;D xsi:type="xsd:double"&gt;60.028458&lt;/D&gt;&lt;D xsi:type="xsd:double"&gt;53.758015&lt;/D&gt;&lt;D xsi:type="xsd:double"&gt;46.356358&lt;/D&gt;&lt;D xsi:type="xsd:double"&gt;48.62515&lt;/D&gt;&lt;D xsi:type="xsd:double"&gt;40.795326&lt;/D&gt;&lt;D xsi:type="xsd:double"&gt;24.180567&lt;/D&gt;&lt;D xsi:type="xsd:double"&gt;15.04904&lt;/D&gt;&lt;D xsi:type="xsd:double"&gt;15.17086&lt;/D&gt;&lt;D xsi:type="xsd:double"&gt;15.971268&lt;/D&gt;&lt;D xsi:type="xsd:double"&gt;9.488857&lt;/D&gt;&lt;D xsi:type="xsd:double"&gt;7.251513&lt;/D&gt;&lt;D xsi:type="xsd:double"&gt;-4.699862&lt;/D&gt;&lt;D xsi:type="xsd:double"&gt;-14.038742&lt;/D&gt;&lt;D xsi:type="xsd:double"&gt;-6.695324&lt;/D&gt;&lt;D xsi:type="xsd:double"&gt;-12.814665&lt;/D&gt;&lt;D xsi:type="xsd:double"&gt;-21.356571&lt;/D&gt;&lt;D xsi:type="xsd:double"&gt;-14.229226&lt;/D&gt;&lt;D xsi:type="xsd:double"&gt;-15.772605&lt;/D&gt;&lt;D xsi:type="xsd:double"&gt;-16.549349&lt;/D&gt;&lt;D xsi:type="xsd:double"&gt;-22.978508&lt;/D&gt;&lt;D xsi:type="xsd:double"&gt;-31.092094&lt;/D&gt;&lt;D xsi:type="xsd:double"&gt;-26.98989&lt;/D&gt;&lt;D xsi:type="xsd:double"&gt;-26.749414&lt;/D&gt;&lt;D xsi:type="xsd:double"&gt;-16.184885&lt;/D&gt;&lt;D xsi:type="xsd:double"&gt;-17.134916&lt;/D&gt;&lt;D xsi:type="xsd:double"&gt;-12.855757&lt;/D&gt;&lt;D xsi:type="xsd:double"&gt;-5.120105&lt;/D&gt;&lt;D xsi:type="xsd:double"&gt;-4.920286&lt;/D&gt;&lt;D xsi:type="xsd:double"&gt;-12.631721&lt;/D&gt;&lt;D xsi:type="xsd:double"&gt;-16.306723&lt;/D&gt;&lt;D xsi:type="xsd:double"&gt;-17.257904&lt;/D&gt;&lt;D xsi:type="xsd:double"&gt;-10.184115&lt;/D&gt;&lt;D xsi:type="xsd:double"&gt;-8.410877&lt;/D&gt;&lt;D xsi:type="xsd:double"&gt;-8.5288105&lt;/D&gt;&lt;D xsi:type="xsd:double"&gt;-14.804631&lt;/D&gt;&lt;D xsi:type="xsd:double"&gt;-25.805658&lt;/D&gt;&lt;D xsi:type="xsd:double"&gt;-20.162857&lt;/D&gt;&lt;D xsi:type="xsd:double"&gt;-12.091559&lt;/D&gt;&lt;D xsi:type="xsd:double"&gt;-17.283148&lt;/D&gt;&lt;D xsi:type="xsd:double"&gt;-8.156037&lt;/D&gt;&lt;D xsi:type="xsd:double"&gt;-10.027003&lt;/D&gt;&lt;D xsi:type="xsd:double"&gt;-8.312464&lt;/D&gt;&lt;/FQL&gt;&lt;FQL&gt;&lt;Q&gt;KSA^FMA_PE(NTMA,-10AY,0,AM,"PORTAGG","MEANR")&lt;/Q&gt;&lt;R&gt;121&lt;/R&gt;&lt;C&gt;1&lt;/C&gt;&lt;D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xsi:type="xsd:double"&gt;13.0072370464892&lt;/D&gt;&lt;D xsi:type="xsd:double"&gt;12.3412634904433&lt;/D&gt;&lt;D xsi:type="xsd:double"&gt;12.8860824507168&lt;/D&gt;&lt;D xsi:type="xsd:double"&gt;11.1813611608726&lt;/D&gt;&lt;D xsi:type="xsd:double"&gt;11.6437977562454&lt;/D&gt;&lt;D xsi:type="xsd:double"&gt;12.8751927136001&lt;/D&gt;&lt;D xsi:type="xsd:double"&gt;12.8642743989254&lt;/D&gt;&lt;D xsi:type="xsd:double"&gt;13.5729804368177&lt;/D&gt;&lt;D xsi:type="xsd:double"&gt;13.6959097475837&lt;/D&gt;&lt;D xsi:type="xsd:double"&gt;13.5740609107133&lt;/D&gt;&lt;D xsi:type="xsd:double"&gt;12.6433634851208&lt;/D&gt;&lt;D xsi:type="xsd:double"&gt;12.1223065308232&lt;/D&gt;&lt;D xsi:type="xsd:double"&gt;11.2885577234357&lt;/D&gt;&lt;D xsi:type="xsd:double"&gt;13.5497003298933&lt;/D&gt;&lt;D xsi:type="xsd:double"&gt;13.9880493027473&lt;/D&gt;&lt;D xsi:type="xsd:double"&gt;14.1082740221625&lt;/D&gt;&lt;D xsi:type="xsd:double"&gt;14.4220166240634&lt;/D&gt;&lt;D xsi:type="xsd:double"&gt;14.1316002272573&lt;/D&gt;&lt;D xsi:type="xsd:double"&gt;13.7968709259366&lt;/D&gt;&lt;D xsi:type="xsd:double"&gt;13.5177591427416&lt;/D&gt;&lt;D xsi:type="xsd:double"&gt;14.0723542073714&lt;/D&gt;&lt;D xsi:type="xsd:double"&gt;14.419988373127&lt;/D&gt;&lt;D xsi:type="xsd:double"&gt;13.8046839068964&lt;/D&gt;&lt;D xsi:type="xsd:double"&gt;13.8836954134163&lt;/D&gt;&lt;D xsi:type="xsd:double"&gt;13.0476177702088&lt;/D&gt;&lt;D xsi:type="xsd:double"&gt;12.9568947926625&lt;/D&gt;&lt;D xsi:type="xsd:double"&gt;13.234502157608&lt;/D&gt;&lt;D xsi:type="xsd:double"&gt;13.9585408128987&lt;/D&gt;&lt;D xsi:type="xsd:double"&gt;13.7159630940363&lt;/D&gt;&lt;D xsi:type="xsd:double"&gt;14.3832622007134&lt;/D&gt;&lt;D xsi:type="xsd:double"&gt;15.2785657786464&lt;/D&gt;&lt;D xsi:type="xsd:double"&gt;14.8046802969834&lt;/D&gt;&lt;D xsi:type="xsd:double"&gt;15.0334017966245&lt;/D&gt;&lt;D xsi:type="xsd:double"&gt;15.1772343144401&lt;/D&gt;&lt;D xsi:type="xsd:double"&gt;13.8447906864698&lt;/D&gt;&lt;D xsi:type="xsd:double"&gt;13.6078040126363&lt;/D&gt;&lt;D xsi:type="xsd:double"&gt;13.6953098990913&lt;/D&gt;&lt;D xsi:type="xsd:double"&gt;13.3144846879665&lt;/D&gt;&lt;D xsi:type="xsd:double"&gt;14.4117752364601&lt;/D&gt;&lt;D xsi:type="xsd:double"&gt;15.6531124061922&lt;/D&gt;&lt;D xsi:type="xsd:double"&gt;16.0564117860385&lt;/D&gt;&lt;D xsi:type="xsd:double"&gt;16.3273581494246&lt;/D&gt;&lt;D xsi:type="xsd:double"&gt;17.3602881917187&lt;/D&gt;&lt;D xsi:type="xsd:double"&gt;16.139202796857&lt;/D&gt;&lt;D xsi:type="xsd:double"&gt;16.8432218762947&lt;/D&gt;&lt;D xsi:type="xsd:double"&gt;17.1363004397608&lt;/D&gt;&lt;D xsi:type="xsd:double"&gt;17.020865669313&lt;/D&gt;&lt;D xsi:type="xsd:double"&gt;16.8583297269745&lt;/D&gt;&lt;D xsi:type="xsd:double"&gt;16.1450996251791&lt;/D&gt;&lt;D xsi:type="xsd:double"&gt;16.8394316367923&lt;/D&gt;&lt;D xsi:type="xsd:double"&gt;16.9915368488145&lt;/D&gt;&lt;D xsi:type="xsd:double"&gt;17.2642980407925&lt;/D&gt;&lt;D xsi:type="xsd:double"&gt;16.0171464846422&lt;/D&gt;&lt;D xsi:type="xsd:double"&gt;13.6522657407236&lt;/D&gt;&lt;D xsi:type="xsd:double"&gt;15.7920941009369&lt;/D&gt;&lt;D xsi:type="xsd:double"&gt;18.6643319563757&lt;/D&gt;&lt;D xsi:type="xsd:double"&gt;19.5336332114727&lt;/D&gt;&lt;D xsi:type="xsd:double"&gt;19.7142639832965&lt;/D&gt;&lt;D xsi:type="xsd:double"&gt;20.2006702891313&lt;/D&gt;&lt;D xsi:type="xsd:double"&gt;21.7784685163073&lt;/D&gt;&lt;D xsi:type="xsd:double"&gt;21.5060732019305&lt;/D&gt;&lt;D xsi:type="xsd:double"&gt;20.0750795214479&lt;/D&gt;&lt;D xsi:type="xsd:double"&gt;19.3860518146784&lt;/D&gt;&lt;D xsi:type="xsd:double"&gt;19.1052645246836&lt;/D&gt;&lt;D xsi:type="xsd:double"&gt;18.4333937713157&lt;/D&gt;&lt;D xsi:type="xsd:double"&gt;18.665994348641&lt;/D&gt;&lt;D xsi:type="xsd:double"&gt;19.2239743610616&lt;/D&gt;&lt;D xsi:type="xsd:double"&gt;19.0123009706437&lt;/D&gt;&lt;D xsi:type="xsd:double"&gt;19.4259368524232&lt;/D&gt;&lt;D xsi:type="xsd:double"&gt;18.9616308629493&lt;/D&gt;&lt;D xsi:type="xsd:double"&gt;18.8985531854483&lt;/D&gt;&lt;D xsi:type="xsd:double"&gt;18.9578640377264&lt;/D&gt;&lt;D xsi:type="xsd:double"&gt;19.1827962494938&lt;/D&gt;&lt;D xsi:type="xsd:double"&gt;18.7094246791868&lt;/D&gt;&lt;D xsi:type="xsd:double"&gt;17.7405564337979&lt;/D&gt;&lt;D xsi:type="xsd:double"&gt;19.2522429403054&lt;/D&gt;&lt;D xsi:type="xsd:double"&gt;19.069907582587&lt;/D&gt;&lt;D xsi:type="xsd:double"&gt;19.1301356524487&lt;/D&gt;&lt;D xsi:type="xsd:double"&gt;19.168843127212&lt;/D&gt;&lt;D xsi:type="xsd:double"&gt;16.7758179075969&lt;/D&gt;&lt;D xsi:type="xsd:double"&gt;15.9803947779609&lt;/D&gt;&lt;D xsi:type="xsd:double"&gt;16.0782145334996&lt;/D&gt;&lt;D xsi:type="xsd:double"&gt;16.6489138691554&lt;/D&gt;&lt;D xsi:type="xsd:double"&gt;14.933725426344&lt;/D&gt;&lt;D xsi:type="xsd:double"&gt;15.3873681961937&lt;/D&gt;&lt;D xsi:type="xsd:double"&gt;14.9824925080644&lt;/D&gt;&lt;D xsi:type="xsd:double"&gt;13.903292896754&lt;/D&gt;&lt;D xsi:type="xsd:double"&gt;14.8252971511322&lt;/D&gt;&lt;D xsi:type="xsd:double"&gt;15.1178990754994&lt;/D&gt;&lt;D xsi:type="xsd:double"&gt;13.9277223873893&lt;/D&gt;&lt;D xsi:type="xsd:double"&gt;16.2124733129463&lt;/D&gt;&lt;D xsi:type="xsd:double"&gt;16.7046386668478&lt;/D&gt;&lt;D xsi:type="xsd:double"&gt;17.0835684927572&lt;/D&gt;&lt;D xsi:type="xsd:double"&gt;17.542662918702&lt;/D&gt;&lt;D xsi:ty</t>
        </r>
      </text>
    </comment>
    <comment ref="A10" authorId="0" shapeId="0" xr:uid="{10442596-2F28-4E78-BDFE-19273747F8A3}">
      <text>
        <r>
          <rPr>
            <b/>
            <sz val="9"/>
            <color indexed="81"/>
            <rFont val="Tahoma"/>
            <charset val="1"/>
          </rPr>
          <t>pe="xsd:double"&gt;17.1662250873163&lt;/D&gt;&lt;D xsi:type="xsd:double"&gt;16.2599452579069&lt;/D&gt;&lt;D xsi:type="xsd:double"&gt;15.5731634798436&lt;/D&gt;&lt;D xsi:type="xsd:double"&gt;16.4340903259972&lt;/D&gt;&lt;D xsi:type="xsd:double"&gt;17.5683628866826&lt;/D&gt;&lt;D xsi:type="xsd:double"&gt;18.1833663825958&lt;/D&gt;&lt;D xsi:type="xsd:double"&gt;18.8413846717949&lt;/D&gt;&lt;D xsi:type="xsd:double"&gt;18.5128944921045&lt;/D&gt;&lt;D xsi:type="xsd:double"&gt;17.7765323264586&lt;/D&gt;&lt;D xsi:type="xsd:double"&gt;17.1693241626794&lt;/D&gt;&lt;D xsi:type="xsd:double"&gt;16.4228966499153&lt;/D&gt;&lt;D xsi:type="xsd:double"&gt;17.2921826025323&lt;/D&gt;&lt;/FQL&gt;&lt;FQL&gt;&lt;Q&gt;TIOS-FDS^FG_PRICE_CHANGE(0,-3AM)&lt;/Q&gt;&lt;R&gt;1&lt;/R&gt;&lt;C&gt;1&lt;/C&gt;&lt;D xsi:type="xsd:double"&gt;0.443418013856811&lt;/D&gt;&lt;/FQL&gt;&lt;FQL&gt;&lt;Q&gt;UAE^FG_PRICE_MAVG(0,,,,30)&lt;/Q&gt;&lt;R&gt;1&lt;/R&gt;&lt;C&gt;1&lt;/C&gt;&lt;D xsi:type="xsd:double"&gt;13.7325&lt;/D&gt;&lt;/FQL&gt;&lt;FQL&gt;&lt;Q&gt;KSA^FG_TOTAL_RETURNC(0,-1AM)&lt;/Q&gt;&lt;R&gt;1&lt;/R&gt;&lt;C&gt;1&lt;/C&gt;&lt;D xsi:type="xsd:double"&gt;1.9151568&lt;/D&gt;&lt;/FQL&gt;&lt;FQL&gt;&lt;Q&gt;EZA^FG_TOTAL_RETURNC(0,-6AM)&lt;/Q&gt;&lt;R&gt;1&lt;/R&gt;&lt;C&gt;1&lt;/C&gt;&lt;D xsi:type="xsd:double"&gt;15.322245&lt;/D&gt;&lt;/FQL&gt;&lt;FQL&gt;&lt;Q&gt;EWY^FG_TOTAL_RETURNC(0,-1AM)&lt;/Q&gt;&lt;R&gt;1&lt;/R&gt;&lt;C&gt;1&lt;/C&gt;&lt;D xsi:type="xsd:double"&gt;-0.6094694&lt;/D&gt;&lt;/FQL&gt;&lt;FQL&gt;&lt;Q&gt;EPU^PERCENT_CHANGE(FMA_EPS(+1,0,,,,"PORTAGG","MEAN"),FMA_EPS(+1,-1AM,,,,"PORTAGG","MEAN"))&lt;/Q&gt;&lt;R&gt;1&lt;/R&gt;&lt;C&gt;1&lt;/C&gt;&lt;D xsi:type="xsd:double"&gt;2.59886486487703&lt;/D&gt;&lt;/FQL&gt;&lt;FQL&gt;&lt;Q&gt;VWO^FMA_COS_UP("EPS","1M",+1,NOW,,,"PORTAGG","MEANR")&lt;/Q&gt;&lt;R&gt;1&lt;/R&gt;&lt;C&gt;1&lt;/C&gt;&lt;D xsi:type="xsd:double"&gt;1000&lt;/D&gt;&lt;/FQL&gt;&lt;FQL&gt;&lt;Q&gt;SET-BKK^FMA_COS_UP("EPS","1M",+1,NOW,,,"PORTAGG","MEANR")&lt;/Q&gt;&lt;R&gt;1&lt;/R&gt;&lt;C&gt;1&lt;/C&gt;&lt;D xsi:type="xsd:double"&gt;47&lt;/D&gt;&lt;/FQL&gt;&lt;FQL&gt;&lt;Q&gt;EWZ^FMA_COS_UP("EPS","1M",+1,NOW,,,"PORTAGG","MEANR")&lt;/Q&gt;&lt;R&gt;1&lt;/R&gt;&lt;C&gt;1&lt;/C&gt;&lt;D xsi:type="xsd:double"&gt;12&lt;/D&gt;&lt;/FQL&gt;&lt;FQL&gt;&lt;Q&gt;EPOL^FMA_COS_UP("EPS","1M",+1,NOW,,,"PORTAGG","MEANR")&lt;/Q&gt;&lt;R&gt;1&lt;/R&gt;&lt;C&gt;1&lt;/C&gt;&lt;D xsi:type="xsd:double"&gt;17&lt;/D&gt;&lt;/FQL&gt;&lt;FQL&gt;&lt;Q&gt;UAE^FG_ROE(0)&lt;/Q&gt;&lt;R&gt;1&lt;/R&gt;&lt;C&gt;1&lt;/C&gt;&lt;D xsi:type="xsd:double"&gt;13.0616552568815&lt;/D&gt;&lt;/FQL&gt;&lt;FQL&gt;&lt;Q&gt;ECH^FG_ROE(0)&lt;/Q&gt;&lt;R&gt;1&lt;/R&gt;&lt;C&gt;1&lt;/C&gt;&lt;D xsi:type="xsd:double"&gt;8.10268621676854&lt;/D&gt;&lt;/FQL&gt;&lt;FQL&gt;&lt;Q&gt;TRYPE10Y-FDS^FG_YIELD_NAME&lt;/Q&gt;&lt;R&gt;1&lt;/R&gt;&lt;C&gt;1&lt;/C&gt;&lt;D xsi:type="xsd:string"&gt;Treasury - Peru Benchmark Bond 10Y&lt;/D&gt;&lt;/FQL&gt;&lt;FQL&gt;&lt;Q&gt;REFZAREPO-FDS^PROPER_NAME(0,,,"SECURITY","NAME")&lt;/Q&gt;&lt;R&gt;1&lt;/R&gt;&lt;C&gt;1&lt;/C&gt;&lt;D xsi:type="xsd:string"&gt;South Africa Repo Rate&lt;/D&gt;&lt;/FQL&gt;&lt;FQL&gt;&lt;Q&gt;REFPEMPR-FDS^FG_YIELD(NOW,,,0)&lt;/Q&gt;&lt;R&gt;1&lt;/R&gt;&lt;C&gt;1&lt;/C&gt;&lt;D xsi:type="xsd:double"&gt;5.75&lt;/D&gt;&lt;/FQL&gt;&lt;FQL&gt;&lt;Q&gt;TRYSA10Y-FDS^PCTCHG(FG_YIELD(0,,,,"YTM"),FG_YIELD(-3AM,,,,"YTM"))&lt;/Q&gt;&lt;R&gt;1&lt;/R&gt;&lt;C&gt;1&lt;/C&gt;&lt;D xsi:type="xsd:double"&gt;-8.039248&lt;/D&gt;&lt;/FQL&gt;&lt;FQL&gt;&lt;Q&gt;TRYGR10Y-FDS^PCTCHG(FG_YIELD(0,,,,"YTM"),FG_YIELD(-1AM,,,,"YTM"))&lt;/Q&gt;&lt;R&gt;1&lt;/R&gt;&lt;C&gt;1&lt;/C&gt;&lt;D xsi:type="xsd:double"&gt;-4.5644317&lt;/D&gt;&lt;/FQL&gt;&lt;FQL&gt;&lt;Q&gt;TRYPH10Y-FDS^PCTCHG(FG_YIELD(0,,,,"YTM"),FG_YIELD(-3AM,,,,"YTM"))&lt;/Q&gt;&lt;R&gt;1&lt;/R&gt;&lt;C&gt;1&lt;/C&gt;&lt;D xsi:type="xsd:double"&gt;-9.213218&lt;/D&gt;&lt;/FQL&gt;&lt;FQL&gt;&lt;Q&gt;TRYTR7Y-FDS^FG_YIELD_NAME&lt;/Q&gt;&lt;R&gt;1&lt;/R&gt;&lt;C&gt;1&lt;/C&gt;&lt;D xsi:type="xsd:string"&gt;Treasury - Turkey Benchmark Bond 7Y&lt;/D&gt;&lt;/FQL&gt;&lt;FQL&gt;&lt;Q&gt;TRYMX10Y-FDS^FG_YIELD(0,,,,"YTM")&lt;/Q&gt;&lt;R&gt;1&lt;/R&gt;&lt;C&gt;1&lt;/C&gt;&lt;D xsi:type="xsd:double"&gt;9.966&lt;/D&gt;&lt;/FQL&gt;&lt;FQL&gt;&lt;Q&gt;TRYCN10Y-FDS^FG_YIELD_NAME&lt;/Q&gt;&lt;R&gt;1&lt;/R&gt;&lt;C&gt;1&lt;/C&gt;&lt;D xsi:type="xsd:string"&gt;Treasury - China Benchmark Bond 10Y&lt;/D&gt;&lt;/FQL&gt;&lt;FQL&gt;&lt;Q&gt;CC_PL^IMF_IFS_RCPI_Q(0)&lt;/Q&gt;&lt;R&gt;0&lt;/R&gt;&lt;C&gt;0&lt;/C&gt;&lt;/FQL&gt;&lt;FQL&gt;&lt;Q&gt;VGK^FG_PE(0)&lt;/Q&gt;&lt;R&gt;1&lt;/R&gt;&lt;C&gt;1&lt;/C&gt;&lt;D xsi:type="xsd:double"&gt;14.3437891278789&lt;/D&gt;&lt;/FQL&gt;&lt;FQL&gt;&lt;Q&gt;INDA^P_PRICE(0)/P_PRICE_HIGH_PR(0,,,,,,"PRICE","INTRA","52W")&lt;/Q&gt;&lt;R&gt;1&lt;/R&gt;&lt;C&gt;1&lt;/C&gt;&lt;D xsi:type="xsd:double"&gt;0.97840476&lt;/D&gt;&lt;/FQL&gt;&lt;FQL&gt;&lt;Q&gt;URTH^P_PRICE(0)/P_PRICE_HIGH_PR(0,,,,,,"PRICE","INTRA","52W")&lt;/Q&gt;&lt;R&gt;1&lt;/R&gt;&lt;C&gt;1&lt;/C&gt;&lt;D xsi:type="xsd:double"&gt;0.9723634&lt;/D&gt;&lt;/FQL&gt;&lt;FQL&gt;&lt;Q&gt;EZA^FMA_PE(NTMA,0,,,"PORTAGG","MEANR")&lt;/Q&gt;&lt;R&gt;1&lt;/R&gt;&lt;C&gt;1&lt;/C&gt;&lt;D xsi:type="xsd:double"&gt;9.81341468859488&lt;/D&gt;&lt;/FQL&gt;&lt;FQL&gt;&lt;Q&gt;EWW^FMA_EVAL_EBIT(LTMA,NOW,NOW,M,"PORTAGG","MEANR")&lt;/Q&gt;&lt;R&gt;1&lt;/R&gt;&lt;C&gt;1&lt;/C&gt;&lt;D xsi:type="xsd:double"&gt;10.2088243495916&lt;/D&gt;&lt;/FQL&gt;&lt;FQL&gt;&lt;Q&gt;FC0000CL^FG_PRICE(0)&lt;/Q&gt;&lt;R&gt;1&lt;/R&gt;&lt;C&gt;1&lt;/C&gt;&lt;D xsi:type="xsd:double"&gt;206.02248&lt;/D&gt;&lt;/FQL&gt;&lt;FQL&gt;&lt;Q&gt;VGK^SIZE(FG_CONSTITUENTS)&lt;/Q&gt;&lt;R&gt;1&lt;/R&gt;&lt;C&gt;1&lt;/C&gt;&lt;D xsi:type="xsd:long"&gt;1283&lt;/D&gt;&lt;/FQL&gt;&lt;FQL&gt;&lt;Q&gt;REFBRSELIC-FDS^(SUBARRAY(NOT_NA(NO_REPEAT_F(FG_YIELD(NOW,-10AY,D))),0,1)-SUBARRAY(NOT_NA(NO_REPEAT_F(FG_YIELD(NOW,-10AY,D))),1,1))*100&lt;/Q&gt;&lt;R&gt;1&lt;/R&gt;&lt;C&gt;1&lt;/C&gt;&lt;D xsi:type="xsd:double"&gt;-25&lt;/D&gt;&lt;/FQL&gt;&lt;FQL&gt;&lt;Q&gt;UAE^FG_FCF_YIELD_NTM(0)&lt;/Q&gt;&lt;R&gt;1&lt;/R&gt;&lt;C&gt;1&lt;/C&gt;&lt;D xsi:type="xsd:double"&gt;8.67907233606193&lt;/D&gt;&lt;/FQL&gt;&lt;FQL&gt;&lt;Q&gt;SET-BKK^FMA_PE(LTM,0,,,"PORTAGG","MEANR")&lt;/Q&gt;&lt;R&gt;1&lt;/R&gt;&lt;C&gt;1&lt;/C&gt;&lt;D xsi:type="xsd:double"&gt;16.5418477717726&lt;/D&gt;&lt;/FQL&gt;&lt;FQL&gt;&lt;Q&gt;CNYA^P_PRICE(0)/P_PRICE_HIGH_PR(0,,,,,,"PRICE","INTRA","52W")&lt;/Q&gt;&lt;R&gt;1&lt;/R&gt;&lt;C&gt;1&lt;/C&gt;&lt;D xsi:type="xsd:double"&gt;0.82869035&lt;/D&gt;&lt;/FQL&gt;&lt;FQL&gt;&lt;Q&gt;VWO^P_PRICE(0)/P_PRICE_LOW_PR(0,,,,,,"PRICE","INTRA","52W")-1&lt;/Q&gt;&lt;R&gt;1&lt;/R&gt;&lt;C&gt;1&lt;/C&gt;&lt;D xsi:type="xsd:double"&gt;0.1728741&lt;/D&gt;&lt;/FQL&gt;&lt;FQL&gt;&lt;Q&gt;USDZAR^FG_PRICE_CHANGE(0,-6AM)&lt;/Q&gt;&lt;R&gt;1&lt;/R&gt;&lt;C&gt;1&lt;/C&gt;&lt;D xsi:type="xsd:double"&gt;-3.9117038&lt;/D&gt;&lt;/FQL&gt;&lt;FQL&gt;&lt;Q&gt;USDTWD^STD(FG_PRICE_CHANGE(0,-3AY,M))&lt;/Q&gt;&lt;R&gt;1&lt;/R&gt;&lt;C&gt;1&lt;/C&gt;&lt;D xsi:type="xsd:double"&gt;1.68570413542361&lt;/D&gt;&lt;/FQL&gt;&lt;FQL&gt;&lt;Q&gt;USDPLN^FG_PRICE_CHANGE(0,-1AY)&lt;/Q&gt;&lt;R&gt;1&lt;/R&gt;&lt;C&gt;1&lt;/C&gt;&lt;D xsi:type="xsd:double"&gt;-0.8376837&lt;/D&gt;&lt;/FQL&gt;&lt;FQL&gt;&lt;Q&gt;USDCNH^STD(FG_PRICE_CHANGE(0,-1AY,AM))&lt;/Q&gt;&lt;R&gt;1&lt;/R&gt;&lt;C&gt;1&lt;/C&gt;&lt;D xsi:type="xsd:double"&gt;0.842000395134661&lt;/D&gt;&lt;/FQL&gt;&lt;FQL&gt;&lt;Q&gt;ECH^JULIAN(FG_TOTAL_RETURNC(-10AY,0,AM).DATES)&lt;/Q&gt;&lt;R&gt;121&lt;/R&gt;&lt;C&gt;1&lt;/C&gt;&lt;D xsi:type="xsd:long"&gt;41838&lt;/D&gt;&lt;D xsi:type="xsd:long"&gt;41870&lt;/D&gt;&lt;D xsi:type="xsd:long"&gt;41901&lt;/D&gt;&lt;D xsi:type="xsd:long"&gt;41929&lt;/D&gt;&lt;D xsi:type="xsd:long"&gt;41962&lt;/D&gt;&lt;D xsi:type="xsd:long"&gt;41992&lt;/D&gt;&lt;D xsi:type="xsd:long"&gt;42020&lt;/D&gt;&lt;D xsi:type="xsd:long"&gt;42054&lt;/D&gt;&lt;D xsi:type="xsd:long"&gt;42082&lt;/D&gt;&lt;D xsi:type="xsd:long"&gt;42111&lt;/D&gt;&lt;D xsi:type="xsd:long"&gt;42143&lt;/D&gt;&lt;D xsi:type="xsd:long"&gt;42174&lt;/D&gt;&lt;D xsi:type="xsd:long"&gt;42202&lt;/D&gt;&lt;D xsi:type="xsd:long"&gt;42235&lt;/D&gt;&lt;D xsi:type="xsd:long"&gt;42265&lt;/D&gt;&lt;D xsi:type="xsd:long"&gt;42296&lt;/D&gt;&lt;D xsi:type="xsd:long"&gt;42327&lt;/D&gt;&lt;D xsi:type="xsd:long"&gt;42356&lt;/D&gt;&lt;D xsi:type="xsd:long"&gt;42388&lt;/D&gt;&lt;D xsi:type="xsd:long"&gt;42419&lt;/D&gt;&lt;D xsi:type="xsd:long"&gt;42447&lt;/D&gt;&lt;D xsi:type="xsd:long"&gt;42479&lt;/D&gt;&lt;D xsi:type="xsd:long"&gt;42509&lt;/D&gt;&lt;D xsi:type="xsd:long"&gt;42538&lt;/D&gt;&lt;D xsi:type="xsd:long"&gt;42570&lt;/D&gt;&lt;D xsi:type="xsd:long"&gt;42601&lt;/D&gt;&lt;D xsi:type="xsd:long"&gt;42632&lt;/D&gt;&lt;D xsi:type="xsd:long"&gt;42662&lt;/D&gt;&lt;D xsi:type="xsd:long"&gt;42692&lt;/D&gt;&lt;D xsi:type="xsd:long"&gt;42723&lt;/D&gt;&lt;D xsi:type="xsd:long"&gt;42754&lt;/D&gt;&lt;D xsi:type="xsd:long"&gt;42783&lt;/D&gt;&lt;D xsi:type="xsd:long"&gt;42811&lt;/D&gt;&lt;D xsi:type="xsd:long"&gt;42844&lt;/D&gt;&lt;D xsi:type="xsd:long"&gt;42874&lt;/D&gt;&lt;D xsi:type="xsd:long"&gt;42905&lt;/D&gt;&lt;D xsi:type="xsd:long"&gt;42935&lt;/D&gt;&lt;D xsi:type="xsd:long"&gt;42965&lt;/D&gt;&lt;D xsi:type="xsd:long"&gt;42997&lt;/D&gt;&lt;D xsi:type="xsd:long"&gt;43027&lt;/D&gt;&lt;D xsi:type="xsd:long"&gt;43056&lt;/D&gt;&lt;D xsi:type="xsd:long"&gt;43088&lt;/D&gt;&lt;D xsi:type="xsd:long"&gt;43119&lt;/D&gt;&lt;D xsi:type="xsd:long"&gt;43147&lt;/D&gt;&lt;D xsi:type="xsd:long"&gt;43178&lt;/D&gt;&lt;D xsi:type="xsd:long"&gt;43209&lt;/D&gt;&lt;D xsi:type="xsd:long"&gt;43238&lt;/D&gt;&lt;D xsi:type="xsd:long"&gt;43270&lt;/D&gt;&lt;D xsi:type="xsd:long"&gt;43300&lt;/D&gt;&lt;D xsi:type="xsd:long"&gt;43329&lt;/D&gt;&lt;D xsi:type="xsd:long"&gt;43362&lt;/D&gt;&lt;D xsi:type="xsd:long"&gt;43392&lt;/D&gt;&lt;D xsi:type="xsd:long"&gt;43423&lt;/D&gt;&lt;D xsi:type="xsd:long"&gt;43453&lt;/D&gt;&lt;D xsi:type="xsd:long"&gt;43483&lt;/D&gt;&lt;D xsi:type="xsd:long"&gt;43515&lt;/D&gt;&lt;D xsi:type="xsd:long"&gt;43543&lt;/D&gt;&lt;D xsi:type="xsd:long"&gt;43573&lt;/D&gt;&lt;D xsi:type="xsd:long"&gt;43602&lt;/D&gt;&lt;D xsi:type="xsd:long"&gt;43635&lt;/D&gt;&lt;D xsi:type="xsd:long"&gt;43665&lt;/D&gt;&lt;D xsi:type="xsd:long"&gt;43696&lt;/D&gt;&lt;D xsi:type="xsd:long"&gt;43727&lt;/D&gt;&lt;D xsi:type="xsd:long"&gt;43756&lt;/D&gt;&lt;D xsi:type="xsd:long"&gt;43788&lt;/D&gt;&lt;D xsi:type="xsd:long"&gt;43818&lt;/D&gt;&lt;D xsi:type="xsd:long"&gt;43847&lt;/D&gt;&lt;D xsi:type="xsd:long"&gt;43880&lt;/D&gt;&lt;D xsi:type="xsd:long"&gt;43909&lt;/D&gt;&lt;D xsi:type="xsd:long"&gt;43938&lt;/D&gt;&lt;D xsi:type="xsd:long"&gt;43970&lt;/D&gt;&lt;D xsi:type="xsd:long"&gt;44001&lt;/D&gt;&lt;D xsi:type="xsd:long"&gt;44029&lt;/D&gt;&lt;D xsi:type="xsd:long"&gt;44062&lt;/D&gt;&lt;D xsi:type="xsd:long"&gt;44092&lt;/D&gt;&lt;D xsi:type="xsd:long"&gt;44123&lt;/D&gt;&lt;D xsi:type="xsd:long"&gt;44154&lt;/D&gt;&lt;D xsi:type="xsd:long"&gt;44183&lt;/D&gt;&lt;D xsi:type="xsd:long"&gt;44215&lt;/D&gt;&lt;D xsi:type="xsd:long"&gt;44246&lt;/D&gt;&lt;D xsi:type="xsd:long"&gt;44274&lt;/D&gt;&lt;D xsi:type="xsd:long"&gt;44305&lt;/D&gt;&lt;D xsi:type="xsd:long"&gt;44335&lt;/D&gt;&lt;D xsi:type="xsd:long"&gt;44365&lt;/D&gt;&lt;D xsi:type="xsd:long"&gt;44396&lt;/D&gt;&lt;D xsi:type="xsd:long"&gt;44427&lt;/D&gt;&lt;D xsi:type="xsd:long"&gt;44456&lt;/D&gt;&lt;D xsi:type="xsd:long"&gt;44488&lt;/D&gt;&lt;D xsi:type="xsd:long"&gt;44519&lt;/D&gt;&lt;D xsi:type="xsd:long"&gt;44547&lt;/D&gt;&lt;D xsi:type="xsd:long"&gt;44580&lt;/D&gt;&lt;D xsi:type="xsd:long"&gt;44610&lt;/D&gt;&lt;D xsi:type="xsd:long"&gt;44638&lt;/D&gt;&lt;D xsi:type="xsd:long"&gt;44670&lt;/D&gt;&lt;D xsi:type="xsd:long"&gt;44700&lt;/D&gt;&lt;D xsi:type="xsd:long"&gt;44729&lt;/D&gt;&lt;D xsi:type="xsd:long"&gt;44761&lt;/D&gt;&lt;D xsi:type="xsd:long"&gt;44792&lt;/D&gt;&lt;D xsi:type="xsd:long"&gt;44823&lt;/D&gt;&lt;D xsi:type="xsd:long"&gt;44853&lt;/D&gt;&lt;D xsi:type="xsd:long"&gt;44883&lt;/D&gt;&lt;D xsi:type="xsd:long"&gt;44914&lt;/D&gt;&lt;D xsi:type="xsd:long"&gt;44945&lt;/D&gt;&lt;D xsi:type="xsd:long"&gt;44974&lt;/D&gt;&lt;D xsi:type="xsd:long"&gt;45002&lt;/D&gt;&lt;D xsi:type="xsd:long"&gt;45035&lt;/D&gt;&lt;D xsi:type="xsd:long"&gt;45065&lt;/D&gt;&lt;D xsi:type="xsd:long"&gt;45093&lt;/D&gt;&lt;D xsi:type="xsd:long"&gt;45126&lt;/D&gt;&lt;D xsi:type="xsd:long"&gt;45156&lt;/D&gt;&lt;D xsi:type="xsd:long"&gt;45188&lt;/D&gt;&lt;D xsi:type="xsd:long"&gt;45218&lt;/D&gt;&lt;D xsi:type="xsd:long"&gt;45247&lt;/D&gt;&lt;D xsi:type="xsd:long"&gt;45279&lt;/D&gt;&lt;D xsi:type="xsd:long"&gt;45310&lt;/D&gt;&lt;D xsi:type="xsd:long"&gt;45338&lt;/D&gt;&lt;D xsi:type="xsd:long"&gt;45370&lt;/D&gt;&lt;D xsi:type="xsd:long"&gt;45401&lt;/D&gt;&lt;D xsi:type="xsd:long"&gt;45429&lt;/D&gt;&lt;D xsi:type="xsd:long"&gt;45461&lt;/D&gt;&lt;D xsi:type="xsd:long"&gt;45492&lt;/D&gt;&lt;/FQL&gt;&lt;FQL&gt;&lt;Q&gt;ECH^FMA_PE(LTMA,-10AY,0,AM,"PORTAGG","MEANR")&lt;/Q&gt;&lt;R&gt;121&lt;/R&gt;&lt;C&gt;1&lt;/C&gt;&lt;D xsi:type="xsd:double"&gt;16.2429579890756&lt;/D&gt;&lt;D xsi:type="xsd:double"&gt;16.4460020510436&lt;/D&gt;&lt;D xsi:type="xsd:double"&gt;16.5729877793193&lt;/D&gt;&lt;D xsi:type="xsd:double"&gt;15.9503131629912&lt;/D&gt;&lt;D xsi:type="xsd:double"&gt;16.6390311576383&lt;/D&gt;&lt;D xsi:type="xsd:double"&gt;16.5241935260686&lt;/D&gt;&lt;D xsi:type="xsd:double"&gt;15.8195303560521&lt;/D&gt;&lt;D xsi:type="xsd:double"&gt;16.8225069735252&lt;/D&gt;&lt;D xsi:type="xsd:double"&gt;16.4436027402032&lt;/D&gt;&lt;D xsi:type="xsd:double"&gt;16.4125894930093&lt;/D&gt;&lt;D xsi:type="xsd:double"&gt;16.4244636749159&lt;/D&gt;&lt;D xsi:type="xsd:double"&gt;16.0181235822957&lt;/D&gt;&lt;D xsi:type="xsd:double"&gt;15.4629178595361&lt;/D&gt;&lt;D xsi:type="xsd:double"&gt;15.1854942233897&lt;/D&gt;&lt;D xsi:type="xsd:double"&gt;15.2491403495275&lt;/D&gt;&lt;D xsi:type="xsd:double"&gt;15.5706546830559&lt;/D&gt;&lt;D xsi:type="xsd:double"&gt;16.131202347485&lt;/D&gt;&lt;D xsi:type="xsd:double"&gt;16.1911612172335&lt;/D&gt;&lt;D xsi:type="xsd:double"&gt;15.0576488054013&lt;/D&gt;&lt;D xsi:type="xsd:double"&gt;15.8842006570218&lt;/D&gt;&lt;D xsi:type="xsd:double"&gt;15.5052879218636&lt;/D&gt;&lt;D xsi:type="xsd:double"&gt;15.4318267591516&lt;/D&gt;&lt;D xsi:type="xsd:double"&gt;15.2677537483251&lt;/D&gt;&lt;D xsi:type="xsd:double"&gt;15.0581759543624&lt;/D&gt;&lt;D xsi:type="xsd:double"&gt;15.6978899358609&lt;/D&gt;&lt;D xsi:type="xsd:double"&gt;15.9739767194358&lt;/D&gt;&lt;D xsi:type="xsd:double"&gt;15.9758404612393&lt;/D&gt;&lt;D xsi:type="xsd:double"&gt;17.0068951514248&lt;/D&gt;&lt;D xsi:type="xsd:double"&gt;16.5210429490199&lt;/D&gt;&lt;D xsi:type="xsd:double"&gt;15.6701587186742&lt;/D&gt;&lt;D xsi:type="xsd:double"&gt;15.9282335300877&lt;/D&gt;&lt;D xsi:type="xsd:double"&gt;16.6580976431446&lt;/D&gt;&lt;D xsi:type="xsd:double"&gt;16.8913525316466&lt;/D&gt;&lt;D xsi:type="xsd:double"&gt;17.1846438394163&lt;/D&gt;&lt;D xsi:type="xsd:double"&gt;17.2569311287006&lt;/D&gt;&lt;D xsi:type="xsd:double"&gt;17.4093788172041&lt;/D&gt;&lt;D xsi:type="xsd:double"&gt;17.9848285845448&lt;/D&gt;&lt;D xsi:type="xsd:double"&gt;18.6637709372066&lt;/D&gt;&lt;D xsi:type="xsd:double"&gt;19.820583814066&lt;/D&gt;&lt;D xsi:type="xsd:double"&gt;17.9762010325256&lt;/D&gt;&lt;D xsi:type="xsd:double"&gt;17.7309264664813&lt;/D&gt;&lt;D xsi:type="xsd:double"&gt;18.0925510672479&lt;/D&gt;&lt;D xsi:type="xsd:double"&gt;18.6485692794201&lt;/D&gt;&lt;D xsi:type="xsd:double"&gt;17.7731302512759&lt;/D&gt;&lt;D xsi:type="xsd:double"&gt;17.3269281734315&lt;/D&gt;&lt;D xsi:type="xsd:double"&gt;17.1093557331159&lt;/D&gt;&lt;D xsi:type="xsd:double"&gt;16.576042224374&lt;/D&gt;&lt;D xsi:type="xsd:double"&gt;15.7209629696624&lt;/D&gt;&lt;D xsi:type="xsd:double"&gt;15.4795376273765&lt;/D&gt;&lt;D xsi:type="xsd:double"&gt;14.9892561298481&lt;/D&gt;&lt;D xsi:type="xsd:double"&gt;15.3082138310695&lt;/D&gt;&lt;D xsi:type="xsd:double"&gt;17.0616664866312&lt;/D&gt;&lt;D xsi:type="xsd:double"&gt;17.4770424799721&lt;/D&gt;&lt;D xsi:type="xsd:double"&gt;16.4856210189884&lt;/D&gt;&lt;D xsi:type="xsd:double"&gt;17.9570462244064&lt;/D&gt;&lt;D xsi:type="xsd:double"&gt;17.8621325088593&lt;/D&gt;&lt;D xsi:type="xsd:double"&gt;15.8268448819021&lt;/D&gt;&lt;D xsi:type="xsd:double"&gt;15.7366059194631&lt;/D&gt;&lt;D xsi:type="xsd:double"&gt;15.4770310117659&lt;/D&gt;&lt;D xsi:type="xsd:double"&gt;15.7793249260137&lt;/D&gt;&lt;D xsi:type="xsd:double"&gt;16.0895773933994&lt;/D&gt;&lt;D xsi:type="xsd:double"&gt;15.190054681372&lt;/D&gt;&lt;D xsi:type="xsd:double"&gt;16.7036734825306&lt;/D&gt;&lt;D xsi:type="xsd:double"&gt;17.257701474651&lt;/D&gt;&lt;D xsi:type="xsd:double"&gt;15.921140110334&lt;/D&gt;&lt;D xsi:type="xsd:double"&gt;15.5249230540773&lt;/D&gt;&lt;D xsi:type="xsd:double"&gt;15.8187486157745&lt;/D&gt;&lt;D xsi:type="xsd:double"&gt;14.3424501179903&lt;/D&gt;&lt;D xsi:type="xsd:double"&gt;14.7931116129172&lt;/D&gt;&lt;D xsi:type="xsd:double"&gt;15.0457315775878&lt;/D&gt;&lt;D xsi:type="xsd:double"&gt;15.5067309286698&lt;/D&gt;&lt;D xsi:type="xsd:double"&gt;16.6565096120675&lt;/D&gt;&lt;D xsi:type="xsd:double"&gt;17.2611759547868&lt;/D&gt;&lt;D xsi:type="xsd:double"&gt;19.6337291198423&lt;/D&gt;&lt;D xsi:type="xsd:double"&gt;19.156203054582&lt;/D&gt;&lt;D xsi:type="xsd:double"&gt;19.6751471080752&lt;/D&gt;&lt;D xsi:type="xsd:double"&gt;22.2606414642595&lt;/D&gt;&lt;D xsi:type="xsd:double"&gt;24.4593752295033&lt;/D&gt;&lt;D xsi:type="xsd:double"&gt;24.2961110536928&lt;/D&gt;&lt;D xsi:type="xsd:double"&gt;26.5441935418261&lt;/D&gt;&lt;D xsi:type="xsd:double"&gt;31.4854756455912&lt;/D&gt;&lt;D xsi:type="xsd:double"&gt;29.477647863153&lt;/D&gt;&lt;D xsi:type="xsd:double"&gt;26.4718355564977&lt;/D&gt;&lt;D xsi:type="xsd:double"&gt;24.5397708729601&lt;/D&gt;&lt;D xsi:type="xsd:double"&gt;22.0513412729332&lt;/D&gt;&lt;D xsi:type="xsd:double"&gt;19.65013656238&lt;/D&gt;&lt;D xsi:type="xsd:double"&gt;17.7221313385063&lt;/D&gt;&lt;D xsi:type="xsd:double"&gt;14.7356718559791&lt;/D&gt;&lt;D xsi:type="xsd:double"&gt;12.4624105709194&lt;/D&gt;&lt;D xsi:type="xsd:double"&gt;10.3049906712321&lt;/D&gt;&lt;D xsi:type="xsd:double"&gt;9.45361854492315&lt;/D&gt;&lt;D xsi:type="xsd:double"&gt;9.51437686905025&lt;/D&gt;&lt;D xsi:type="xsd:double"&gt;9.86320699408691&lt;/D&gt;&lt;D xsi:type="xsd:double"&gt;9.80006909101145&lt;/D&gt;&lt;D xsi:type="xsd:double"&gt;9.4821771103161&lt;/D&gt;&lt;D xsi:type="xsd:double"&gt;8.21575623990853&lt;/D&gt;&lt;D xsi:type="xsd:double"&gt;7.76681954511848&lt;/D&gt;&lt;D xsi:type="xsd:double"&gt;7.26039596310705&lt;/D&gt;&lt;D xsi:type="xsd:double"&gt;7.82111713237475&lt;/D&gt;&lt;D xsi:type="xsd:double"&gt;7.11987743444313&lt;/D&gt;&lt;D xsi:type="xsd:double"&gt;5.86264421466995&lt;/D&gt;&lt;D xsi:type="xsd:double"&gt;5.50956426863932&lt;/D&gt;&lt;D xsi:type="xsd:double"&gt;5.45155876202546&lt;/D&gt;&lt;D xsi:type="xsd:double"&gt;6.00322486263089&lt;/D&gt;&lt;D xsi:type="xsd:double"&gt;5.82920915808983&lt;/D&gt;&lt;D xsi:type="xsd:double"&gt;6.156831511336&lt;/D&gt;&lt;D xsi:type="xsd:double"&gt;6.63709180241453&lt;/D&gt;&lt;D xsi:type="xsd:double"&gt;6.81216194893893&lt;/D&gt;&lt;D xsi:type="xsd:double"&gt;7.75465574128165&lt;/D&gt;&lt;D xsi:type="xsd:double"&gt;7.82990190016158&lt;/D&gt;&lt;D xsi:type="xsd:double"&gt;7.9572096914206&lt;/D&gt;&lt;D xsi:type="xsd:double"&gt;7.88917647008558&lt;/D&gt;&lt;D xsi:type="xsd:double"&gt;8.19799946253746&lt;/D&gt;&lt;D xsi:type="xsd:double"&gt;8.47371883517722&lt;/D&gt;&lt;D xsi:type="xsd:double"&gt;8.42253313477739&lt;/D&gt;&lt;D xsi:type="xsd:double"&gt;8.934997447397&lt;/D&gt;&lt;D xsi:type="xsd:double"&gt;7.28858559748608&lt;/D&gt;&lt;D xsi:type="xsd:double"&gt;7.37461295078302&lt;/D&gt;&lt;D xsi:type="xsd:double"&gt;8.21344828504694&lt;/D&gt;&lt;D xsi:type="xsd:double"&gt;7.65252583061554&lt;/D&gt;&lt;D xsi:type="xsd:double"&gt;8.02703063956361&lt;/D&gt;&lt;/FQL&gt;&lt;FQL&gt;&lt;Q&gt;PASP-FDS^FG_PRICE_CHANGE(0,-6AM)&lt;/Q&gt;&lt;R&gt;1&lt;/R&gt;&lt;C&gt;1&lt;/C&gt;&lt;D xsi:type="xsd:double"&gt;1.05263157894737&lt;/D&gt;&lt;/FQL&gt;&lt;FQL&gt;&lt;Q&gt;PLATI-FDS^FG_PRICE_MAVG(0,,,,30)&lt;/Q&gt;&lt;R&gt;1&lt;/R&gt;&lt;C&gt;1&lt;/C&gt;&lt;D xsi:type="xsd:double"&gt;993.5333&lt;/D&gt;&lt;/FQL&gt;&lt;FQL&gt;&lt;Q&gt;BRENT-FDS^FG_PRICE(0)/MAX(FG_PRICE(0,-1AY))&lt;/Q&gt;&lt;R&gt;1&lt;/R&gt;&lt;C&gt;1&lt;/C&gt;&lt;D xsi:type="xsd:double"&gt;0.870614479821537&lt;/D&gt;&lt;/FQL&gt;&lt;FQL&gt;&lt;Q&gt;FC0000MY^FG_PRICE(0)&lt;/Q&gt;&lt;R&gt;1&lt;/R&gt;&lt;C&gt;1&lt;/C&gt;&lt;D xsi:type="xsd:double"&gt;259.16385&lt;/D&gt;&lt;/FQL&gt;&lt;FQL&gt;&lt;Q&gt;UAE^FG_PRICE(0)&lt;/Q&gt;&lt;R&gt;1&lt;/R&gt;&lt;C&gt;1&lt;/C&gt;&lt;D xsi:type="xsd:double"&gt;14.27&lt;/D&gt;&lt;/FQL&gt;&lt;FQL&gt;&lt;Q&gt;GREK^FG_PRICE_MAVG(0,,,,200)&lt;/Q&gt;&lt;R&gt;1&lt;/R&gt;&lt;C&gt;1&lt;/C&gt;&lt;D xsi:type="xsd:double"&gt;38.758247&lt;/D&gt;&lt;/FQL&gt;&lt;FQL&gt;&lt;Q&gt;EWW^FG_PRICE(0)&lt;/Q&gt;&lt;R&gt;1&lt;/R&gt;&lt;C&gt;1&lt;/C&gt;&lt;D xsi:type="xsd:double"&gt;58.59&lt;/D&gt;&lt;/FQL&gt;&lt;FQL&gt;&lt;Q&gt;EPHE^FG_PRICE_MAVG(0,,,,30)&lt;/Q&gt;&lt;R&gt;1&lt;/R&gt;&lt;C&gt;1&lt;/C&gt;&lt;D xsi:type="xsd:double"&gt;24.449667&lt;/D&gt;&lt;/FQL&gt;&lt;FQL&gt;&lt;Q&gt;TUR^FG_TOTAL_RETURNC(0,-12AM)&lt;/Q&gt;&lt;R&gt;1&lt;/R&gt;&lt;C&gt;1&lt;/C&gt;&lt;D xsi:type="xsd:double"&gt;43.583214&lt;/D&gt;&lt;/FQL&gt;&lt;FQL&gt;&lt;Q&gt;QAT^P_PRICE(0)/P_PRICE_LOW_PR(0,,,,,,"PRICE","INTRA","52W")-1&lt;/Q&gt;&lt;R&gt;1&lt;/R&gt;&lt;C&gt;1&lt;/C&gt;&lt;D xsi:type="xsd:double"&gt;0.08237553&lt;/D&gt;&lt;/FQL&gt;&lt;FQL&gt;&lt;Q&gt;EWT^PERCENT_CHANGE(FMA_EPS(+1,0,,,,"PORTAGG","MEAN"),FMA_EPS(+1,-1AM,,,,"PORTAGG","MEAN"))&lt;/Q&gt;&lt;R&gt;1&lt;/R&gt;&lt;C&gt;1&lt;/C&gt;&lt;D xsi:type="xsd:double"&gt;-0.821541626740604&lt;/D&gt;&lt;/FQL&gt;&lt;FQL&gt;&lt;Q&gt;EPHE^FMA_PCT_ABOVE_MAVG(200,0,,,,"PORTAGG")&lt;/Q&gt;&lt;R&gt;1&lt;/R&gt;&lt;C&gt;1&lt;/C&gt;&lt;D xsi:type="xsd:double"&gt;54.5454545454545&lt;/D&gt;&lt;/FQL&gt;&lt;FQL&gt;&lt;Q&gt;CNYA^FG_TOTAL_RETURNC(0,-12AM)&lt;/Q&gt;&lt;R&gt;1&lt;/R&gt;&lt;C&gt;1&lt;/C&gt;&lt;D xsi:type="xsd:double"&gt;-8.312464&lt;/D&gt;&lt;/FQL&gt;&lt;FQL&gt;&lt;Q&gt;MCHI^FMA_RBICS_REV_CURRENT(30, LOC, "PORTAGG")&lt;/Q&gt;&lt;R&gt;1&lt;/R&gt;&lt;C&gt;1&lt;/C&gt;&lt;D xsi:type="xsd:double"&gt;25.1495051945425&lt;/D&gt;&lt;/FQL&gt;&lt;FQL&gt;&lt;Q&gt;REFTHREPO-FDS^(SUBARRAY(NOT_NA(NO_REPEAT_F(FG_YIELD(NOW,-10AY,D))),0,1)-SUBARRAY(NOT_NA(NO_REPEAT_F(FG_YIELD(NOW,-10AY,D))),1,1))*100&lt;/Q&gt;&lt;R&gt;1&lt;/R&gt;&lt;C&gt;1&lt;/C&gt;&lt;D xsi:type="xsd:double"&gt;25&lt;/D&gt;&lt;/FQL&gt;&lt;FQL&gt;&lt;Q&gt;EZA^FG_TOTAL_RETURNC(0,-3AM)&lt;/Q&gt;&lt;R&gt;1&lt;/R&gt;&lt;C&gt;1&lt;/C&gt;&lt;D xsi:type="xsd:double"&gt;14.451313&lt;/D&gt;&lt;/FQL&gt;&lt;FQL&gt;&lt;Q&gt;EWY^PERCENT_CHANGE(FMA_EPS(+1,0,,,,"PORTAGG","MEAN"),FMA_EPS(+1,-1AM,,,,"PORTAGG","MEAN"))&lt;/Q&gt;&lt;R&gt;1&lt;/R&gt;&lt;C&gt;1&lt;/C&gt;&lt;D xsi:type="xsd:double"&gt;2.04086565151778&lt;/D&gt;&lt;/FQL&gt;&lt;FQL&gt;&lt;Q&gt;REFTHREPO-FDS^FG_YIELD(NOW,,,0)&lt;/Q&gt;&lt;R&gt;1&lt;/R&gt;&lt;C&gt;1&lt;/C&gt;&lt;D xsi:type="xsd:double"&gt;2.5&lt;/D&gt;&lt;/FQL&gt;&lt;FQL&gt;&lt;Q&gt;TIPSCL10Y-FDS^FG_YIELD(-10AY,0,Y,,"YTM")&lt;/Q&gt;&lt;R&gt;10&lt;/R&gt;&lt;C&gt;1&lt;/C&gt;&lt;D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xsi:type="xsd:string"&gt;@NA&lt;/D&gt;&lt;/FQL&gt;&lt;FQL&gt;&lt;Q&gt;CAGDPY@PL^EE_ACTUAL_ANNUAL(MED,0)&lt;/Q&gt;&lt;R&gt;1&lt;/R&gt;&lt;C&gt;1&lt;/C&gt;&lt;D xsi:type="xsd:double"&gt;1.56254742295506&lt;/D&gt;&lt;/FQL&gt;&lt;FQL&gt;&lt;Q&gt;USDVND^FG_PRICE_CHANGE(0,-6AM)&lt;/Q&gt;&lt;R&gt;1&lt;/R&gt;&lt;C&gt;1&lt;/C&gt;&lt;D xsi:type="xsd:double"&gt;3.156817&lt;/D&gt;&lt;/FQL&gt;&lt;FQL&gt;&lt;Q&gt;FC0000ID^FMA_EPS(NTMA,-20AY,0,CY,,"PORTAGG","MEANR")&lt;/Q&gt;&lt;R&gt;20&lt;/R&gt;&lt;C&gt;1&lt;/C&gt;&lt;D xsi:type="xsd:double"&gt;29.3284073880372&lt;/D&gt;&lt;D xsi:type="xsd:double"&gt;28.5023046220539&lt;/D&gt;&lt;D xsi:type="xsd:double"&gt;34.6859014024765&lt;/D&gt;&lt;D xsi:type="xsd:double"&gt;3676.24176737639&lt;/D&gt;&lt;D xsi:type="xsd:double"&gt;35.3597916554534&lt;/D&gt;&lt;D xsi:type="xsd:double"&gt;47.7361447001776&lt;/D&gt;&lt;D xsi:type="xsd:double"&gt;65.769342621642&lt;/D&gt;&lt;D xsi:type="xsd:double"&gt;77.3469090906142&lt;/D&gt;&lt;D xsi:type="xsd:double"&gt;77.3051891445901&lt;/D&gt;&lt;D xsi:type="xsd:double"&gt;63.4414356734006&lt;/D&gt;&lt;D xsi:type="xsd:double"&gt;63.874105605238&lt;/D&gt;&lt;D xsi:type="xsd:double"&gt;48.7526184920652&lt;/D&gt;&lt;D xsi:type="xsd:double"&gt;55.9889041636352&lt;/D&gt;&lt;D xsi:type="xsd:double"&gt;62.060562018712&lt;/D&gt;&lt;D xsi:type="xsd:double"&gt;62.7205184660321&lt;/D&gt;&lt;D xsi:type="xsd:double"&gt;63.7324767601859&lt;/D&gt;&lt;D xsi:type="xsd:double"&gt;51.5265433474337&lt;/D&gt;&lt;D xsi:type="xsd:double"&gt;58.7711783808363&lt;/D&gt;&lt;D xsi:type="xsd:double"&gt;64.972794174405&lt;/D&gt;&lt;D xsi:type="xsd:double"&gt;67.9854425513431&lt;/D&gt;&lt;/FQL&gt;&lt;FQL&gt;&lt;Q&gt;ECH^JULIAN(P_PRICE_RETURNS_PR('52W',2,-10AY,0,AM).DATES)&lt;/Q&gt;&lt;R&gt;121&lt;/R&gt;&lt;C&gt;1&lt;/C&gt;&lt;D xsi:type="xsd:long"&gt;41838&lt;/D&gt;&lt;D xsi:type="xsd:long"&gt;41870&lt;/D&gt;&lt;D xsi:type="xsd:long"&gt;41901&lt;/D&gt;&lt;D xsi:type="xsd:long"&gt;41929&lt;/D&gt;&lt;D xsi:type="xsd:long"&gt;41962&lt;/D&gt;&lt;D xsi:type="xsd:long"&gt;41992&lt;/D&gt;&lt;D xsi:type="xsd:long"&gt;42020&lt;/D&gt;&lt;D xsi:type="xsd:long"&gt;42054&lt;/D&gt;&lt;D xsi:type="xsd:long"&gt;42082&lt;/D&gt;&lt;D xsi:type="xsd:long"&gt;42111&lt;/D&gt;&lt;D xsi:type="xsd:long"&gt;42143&lt;/D&gt;&lt;D xsi:type="xsd:long"&gt;42174&lt;/D&gt;&lt;D xsi:type="xsd:long"&gt;42202&lt;/D&gt;&lt;D xsi:type="xsd:long"&gt;42235&lt;/D&gt;&lt;D xsi:type="xsd:long"&gt;42265&lt;/D&gt;&lt;D xsi:type="xsd:long"&gt;42296&lt;/D&gt;&lt;D xsi:type="xsd:long"&gt;42327&lt;/D&gt;&lt;D xsi:type="xsd:long"&gt;42356&lt;/D&gt;&lt;D xsi:type="xsd:long"&gt;42388&lt;/D&gt;&lt;D xsi:type="xsd:long"&gt;42419&lt;/D&gt;&lt;D xsi:type="xsd:long"&gt;42447&lt;/D&gt;&lt;D xsi:type="xsd:long"&gt;42479&lt;/D&gt;&lt;D xsi:type="xsd:long"&gt;42509&lt;/D&gt;&lt;D xsi:type="xsd:long"&gt;42538&lt;/D&gt;&lt;D xsi:type="xsd:long"&gt;42570&lt;/D&gt;&lt;D xsi:type="xsd:long"&gt;42601&lt;/D&gt;&lt;D xsi:type="xsd:long"&gt;42632&lt;/D&gt;&lt;D xsi:type="xsd:long"&gt;42662&lt;/D&gt;&lt;D xsi:type="xsd:long"&gt;42692&lt;/D&gt;&lt;D xsi:type="xsd:long"&gt;42723&lt;/D&gt;&lt;D xsi:type="xsd:long"&gt;42754&lt;/D&gt;&lt;D xsi:type="xsd:long"&gt;42783&lt;/D&gt;&lt;D xsi:type="xsd:long"&gt;42811&lt;/D&gt;&lt;D xsi:type="xsd:long"&gt;42844&lt;/D&gt;&lt;D xsi:type="xsd:long"&gt;42874&lt;/D&gt;&lt;D xsi:type="xsd:long"&gt;42905&lt;/D&gt;&lt;D xsi:type="xsd:long"&gt;42935&lt;/D&gt;&lt;D xsi:type="xsd:long"&gt;42965&lt;/D&gt;&lt;D xsi:type="xsd:long"&gt;42997&lt;/D&gt;&lt;D xsi:type="xsd:long"&gt;43027&lt;/D&gt;&lt;D xsi:type="xsd:long"&gt;43056&lt;/D&gt;&lt;D xsi:type="xsd:long"&gt;43088&lt;/D&gt;&lt;D xsi:type="xsd:long"&gt;43119&lt;/D&gt;&lt;D xsi:type="xsd:long"&gt;43147&lt;/D&gt;&lt;D xsi:type="xsd:long"&gt;43178&lt;/D&gt;&lt;D xsi:type="xsd:long"&gt;43209&lt;/D&gt;&lt;D xsi:type="xsd:long"&gt;43238&lt;/D&gt;&lt;D xsi:type="xsd:long"&gt;43270&lt;/D&gt;&lt;D xsi:type="xsd:long"&gt;43300&lt;/D&gt;&lt;D xsi:type="xsd:long"&gt;43329&lt;/D&gt;&lt;D xsi:type="xsd:long"&gt;43362&lt;/D&gt;&lt;D xsi:type="xsd:long"&gt;43392&lt;/D&gt;&lt;D xsi:type="xsd:long"&gt;43423&lt;/D&gt;&lt;D xsi:type="xsd:long"&gt;43453&lt;/D&gt;&lt;D xsi:type="xsd:long"&gt;43483&lt;/D&gt;&lt;D xsi:type="xsd:long"&gt;43515&lt;/D&gt;&lt;D xsi:type="xsd:long"&gt;43543&lt;/D&gt;&lt;D xsi:type="xsd:long"&gt;43573&lt;/D&gt;&lt;D xsi:type="xsd:long"&gt;43602&lt;/D&gt;&lt;D xsi:type="xsd:long"&gt;43635&lt;/D&gt;&lt;D xsi:type="xsd:long"&gt;43665&lt;/D&gt;&lt;D xsi:type="xsd:long"&gt;43696&lt;/D&gt;&lt;D xsi:type="xsd:long"&gt;43727&lt;/D&gt;&lt;D xsi:type="xsd:long"&gt;43756&lt;/D&gt;&lt;D xsi:type="xsd:long"&gt;43788&lt;/D&gt;&lt;D xsi:type="xsd:long"&gt;43818&lt;/D&gt;&lt;D xsi:type="xsd:long"&gt;43847&lt;/D&gt;&lt;D xsi:type="xsd:long"&gt;43880&lt;/D&gt;&lt;D xsi:type="xsd:long"&gt;43909&lt;/D&gt;&lt;D xsi:type="xsd:long"&gt;43938&lt;/D&gt;&lt;D xsi:type="xsd:long"&gt;43970&lt;/D&gt;&lt;D xsi:type="xsd:long"&gt;44001&lt;/D&gt;&lt;D xsi:type="xsd:long"&gt;44029&lt;/D&gt;&lt;D xsi:type="xsd:long"&gt;44062&lt;/D&gt;&lt;D xsi:type="xsd:long"&gt;44092&lt;/D&gt;&lt;D xsi:type="xsd:long"&gt;44123&lt;/D&gt;&lt;D xsi:type="xsd:long"&gt;44154&lt;/D&gt;&lt;D xsi:type="xsd:long"&gt;44183&lt;/D&gt;&lt;D xsi:type="xsd:long"&gt;44215&lt;/D&gt;&lt;D xsi:type="xsd:long"&gt;44246&lt;/D&gt;&lt;D xsi:type="xsd:long"&gt;44274&lt;/D&gt;&lt;D xsi:type="xsd:long"&gt;44305&lt;/D&gt;&lt;D xsi:type="xsd:long"&gt;44335&lt;/D&gt;&lt;D xsi:type="xsd:long"&gt;44365&lt;/D&gt;&lt;D xsi:type="xsd:long"&gt;44396&lt;/D&gt;&lt;D xsi:type="xsd:long"&gt;44427&lt;/D&gt;&lt;D xsi:type="xsd:long"&gt;44456&lt;/D&gt;&lt;D xsi:type="xsd:long"&gt;44488&lt;/D&gt;&lt;D xsi:type="xsd:long"&gt;44519&lt;/D&gt;&lt;D xsi:type="xsd:long"&gt;44547&lt;/D&gt;&lt;D xsi:type="xsd:long"&gt;44580&lt;/D&gt;&lt;D xsi:type="xsd:long"&gt;44610&lt;/D&gt;&lt;D xsi:type="xsd:long"&gt;44638&lt;/D&gt;&lt;D xsi:type="xsd:long"&gt;44670&lt;/D&gt;&lt;D xsi:type="xsd:long"&gt;44700&lt;/D&gt;&lt;D xsi:type="xsd:long"&gt;44729&lt;/D&gt;&lt;D xsi:type="xsd:long"&gt;44761&lt;/D&gt;&lt;D xsi:type="xsd:long"&gt;44792&lt;/D&gt;&lt;D xsi:type="xsd:long"&gt;44823&lt;/D&gt;&lt;D xsi:type="xsd:long"&gt;44853&lt;/D&gt;&lt;D xsi:type="xsd:long"&gt;44883&lt;/D&gt;&lt;D xsi:type="xsd:long"&gt;44914&lt;/D&gt;&lt;D xsi:type="xsd:long"&gt;44945&lt;/D&gt;&lt;D xsi:type="xsd:long"&gt;44974&lt;/D&gt;&lt;D xsi:type="xsd:long"&gt;45002&lt;/D&gt;&lt;D xsi:type="xsd:long"&gt;45035&lt;/D&gt;&lt;D xsi:type="xsd:long"&gt;45065&lt;/D&gt;&lt;D xsi:type="xsd:long"&gt;45093&lt;/D&gt;&lt;D xsi:type="xsd:long"&gt;45126&lt;/D&gt;&lt;D xsi:type="xsd:long"&gt;45156&lt;/D&gt;&lt;D xsi:type="xsd:long"&gt;45188&lt;/D&gt;&lt;D xsi:type="xsd:long"&gt;45218&lt;/D&gt;&lt;D xsi:type="xsd:long"&gt;45247&lt;/D&gt;&lt;D xsi:type="xsd:long"&gt;45279&lt;/D&gt;&lt;D xsi:type="xsd:long"&gt;45310&lt;/D&gt;&lt;D xsi:type="xsd:long"&gt;45338&lt;/D&gt;&lt;D xsi:type="xsd:long"&gt;45370&lt;/D&gt;&lt;D xsi:type="xsd:long"&gt;45401&lt;/D&gt;&lt;D xsi:type="xsd:long"&gt;45429&lt;/D&gt;&lt;D xsi:type="xsd:long"&gt;45461&lt;/D&gt;&lt;D xsi:type="xsd:long"&gt;45492&lt;/D&gt;&lt;/FQL&gt;&lt;FQL&gt;&lt;Q&gt;VNM^FMA_PE(NTMA,-10AY,0,AM,"PORTAGG","MEANR")&lt;/Q&gt;&lt;R&gt;121&lt;/R&gt;&lt;C&gt;1&lt;/C&gt;&lt;D xsi:type="xsd:double"&gt;12.8716382997369&lt;/D&gt;&lt;D xsi:type="xsd:double"&gt;12.7149704981399&lt;/D&gt;&lt;D xsi:type="xsd:double"&gt;12.0023804707431&lt;/D&gt;&lt;D xsi:type="xsd:double"&gt;11.7946747199448&lt;/D&gt;&lt;D xsi:type="xsd:double"&gt;11.496763135208&lt;/D&gt;&lt;D xsi:type="xsd:double"&gt;11.3638247184035&lt;/D&gt;&lt;D xsi:type="xsd:double"&gt;12.1749285776459&lt;/D&gt;&lt;D xsi:type="xsd:double"&gt;12.908054645403&lt;/D&gt;&lt;D xsi:type="xsd:double"&gt;12.0391426395227&lt;/D&gt;&lt;D xsi:type="xsd:double"&gt;13.5019561693428&lt;/D&gt;&lt;D xsi:type="xsd:double"&gt;13.0113448792227&lt;/D&gt;&lt;D xsi:type="xsd:double"&gt;13.8940337851689&lt;/D&gt;&lt;D xsi:type="xsd:double"&gt;14.7774800002214&lt;/D&gt;&lt;D xsi:type="xsd:double"&gt;13.9972215821111&lt;/D&gt;&lt;D xsi:type="xsd:double"&gt;13.6649795580947&lt;/D&gt;&lt;D xsi:type="xsd:double"&gt;15.2816007181653&lt;/D&gt;&lt;D xsi:type="xsd:double"&gt;14.6625478453937&lt;/D&gt;&lt;D xsi:type="xsd:double"&gt;11.6654600575256&lt;/D&gt;&lt;D xsi:type="xsd:double"&gt;12.1731464768289&lt;/D&gt;&lt;D xsi:type="xsd:double"&gt;13.5296932459369&lt;/D&gt;&lt;D xsi:type="xsd:double"&gt;14.5578946984045&lt;/D&gt;&lt;D xsi:type="xsd:double"&gt;12.5545172788038&lt;/D&gt;&lt;D xsi:type="xsd:double"&gt;12.926259491678&lt;/D&gt;&lt;D xsi:type="xsd:double"&gt;12.3026182081815&lt;/D&gt;&lt;D xsi:type="xsd:double"&gt;12.5267298660822&lt;/D&gt;&lt;D xsi:type="xsd:double"&gt;11.7511839961753&lt;/D&gt;&lt;D xsi:type="xsd:double"&gt;12.4521981808889&lt;/D&gt;&lt;D xsi:type="xsd:double"&gt;13.3226092705071&lt;/D&gt;&lt;D xsi:type="xsd:double"&gt;12.4861295106295&lt;/D&gt;&lt;D xsi:type="xsd:double"&gt;12.4695851450464&lt;/D&gt;&lt;D xsi:type="xsd:double"&gt;12.3891797531726&lt;/D&gt;&lt;D xsi:type="xsd:double"&gt;13.2736914088181&lt;/D&gt;&lt;D xsi:type="xsd:double"&gt;13.1172401789193&lt;/D&gt;&lt;D xsi:type="xsd:double"&gt;13.8989470056741&lt;/D&gt;&lt;D xsi:type="xsd:double"&gt;14.5357218943441&lt;/D&gt;&lt;D xsi:type="xsd:double"&gt;15.6650919655188&lt;/D&gt;&lt;D xsi:type="xsd:double"&gt;14.9950342429877&lt;/D&gt;&lt;D xsi:type="xsd:double"&gt;15.6858430957169&lt;/D&gt;&lt;D xsi:type="xsd:double"&gt;15.9705212300863&lt;/D&gt;&lt;D xsi:type="xsd:double"&gt;16.1577834183997&lt;/D&gt;&lt;D xsi:type="xsd:double"&gt;17.0580999639639&lt;/D&gt;&lt;D xsi:type="xsd:double"&gt;18.7120856845646&lt;/D&gt;&lt;D xsi:type="xsd:double"&gt;20.8136656487948&lt;/D&gt;&lt;D xsi:type="xsd:double"&gt;19.7001673746152&lt;/D&gt;&lt;D xsi:type="xsd:double"&gt;21.5180209018232&lt;/D&gt;&lt;D xsi:type="xsd:double"&gt;20.683844824673&lt;/D&gt;&lt;D xsi:type="xsd:double"&gt;20.6333389676332&lt;/D&gt;&lt;D xsi:type="xsd:double"&gt;17.5803634548644&lt;/D&gt;&lt;D xsi:type="xsd:double"&gt;17.2707591785237&lt;/D&gt;&lt;D xsi:type="xsd:double"&gt;17.7616174691116&lt;/D&gt;&lt;D xsi:type="xsd:double"&gt;17.731978673828&lt;/D&gt;&lt;D xsi:type="xsd:double"&gt;15.1592102948903&lt;/D&gt;&lt;D xsi:type="xsd:double"&gt;15.0905586190379&lt;/D&gt;&lt;D xsi:type="xsd:double"&gt;15.2371098739138&lt;/D&gt;&lt;D xsi:type="xsd:double"&gt;14.9438139911432&lt;/D&gt;&lt;D xsi:type="xsd:double"&gt;16.1982815378356&lt;/D&gt;&lt;D xsi:type="xsd:double"&gt;17.6102896186125&lt;/D&gt;&lt;D xsi:type="xsd:double"&gt;17.7738781027207&lt;/D&gt;&lt;D xsi:type="xsd:double"&gt;17.498752645337&lt;/D&gt;&lt;D xsi:type="xsd:double"&gt;16.5268622252929&lt;/D&gt;&lt;D xsi:type="xsd:double"&gt;15.8636281764908&lt;/D&gt;&lt;D xsi:type="xsd:double"&gt;14.247532687783&lt;/D&gt;&lt;D xsi:type="xsd:double"&gt;14.2873094515046&lt;/D&gt;&lt;D xsi:type="xsd:double"&gt;14.2598338788335&lt;/D&gt;&lt;D xsi:type="xsd:double"&gt;14.9518426307519&lt;/D&gt;&lt;D xsi:type="xsd:double"&gt;14.1852980931827&lt;/D&gt;&lt;D xsi:type="xsd:double"&gt;13.9092948535076&lt;/D&gt;&lt;D xsi:type="xsd:double"&gt;13.2846420144697&lt;/D&gt;&lt;D xsi:type="xsd:double"&gt;11.1868740751894&lt;/D&gt;&lt;D xsi:type="xsd:double"&gt;13.8378112203221&lt;/D&gt;&lt;D xsi:type="xsd:double"&gt;14.4948337442106&lt;/D&gt;&lt;D xsi:type="xsd:double"&gt;15.2941648403324&lt;/D&gt;&lt;D xsi:type="xsd:double"&gt;15.2095458595287&lt;/D&gt;&lt;D xsi:type="xsd:double"&gt;14.5293396040535&lt;/D&gt;&lt;D xsi:type="xsd:double"&gt;15.4884222802075&lt;/D&gt;&lt;D xsi:type="xsd:double"&gt;15.5956244004204&lt;/D&gt;&lt;D xsi:type="xsd:double"&gt;15.2580549035038&lt;/D&gt;&lt;D xsi:type="xsd:double"&gt;16.1245948541334&lt;/D&gt;&lt;D xsi:type="xsd:double"&gt;16.7815821485647&lt;/D&gt;&lt;D xsi:type="xsd:double"&gt;17.2321292358116&lt;/D&gt;&lt;D xsi:type="xsd:double"&gt;16.7831603695731&lt;/D&gt;&lt;D xsi:type="xsd:double"&gt;17.2682648954091&lt;/D&gt;&lt;D xsi:type="xsd:double"&gt;16.5472560941001&lt;/D&gt;&lt;D xsi:type="xsd:double"&gt;18.1707512255141&lt;/D&gt;&lt;D xsi:type="xsd:double"&gt;16.2703352137678&lt;/D&gt;&lt;D xsi:type="xsd:double"&gt;16.4954760304643&lt;/D&gt;&lt;D xsi:type="xsd:double"&gt;16.1442815318851&lt;/D&gt;&lt;D xsi:type="xsd:double"&gt;16.1706290738573&lt;/D&gt;&lt;D xsi:type="xsd:double"&gt;15.8200403814923&lt;/D&gt;&lt;D xsi:type="xsd:double"&gt;16.7478556931326&lt;/D&gt;&lt;D xsi:type="xsd:double"&gt;15.1187703846428&lt;/D&gt;&lt;D xsi:type="xsd:double"&gt;15.1246790861625&lt;/D&gt;&lt;D xsi:type="xsd:double"&gt;14.3687649277739&lt;/D&gt;&lt;D xsi:type="xsd:double"&gt;13.5653583852494&lt;/D&gt;&lt;D xsi:type="xsd:double"&gt;12.2625556537944&lt;/D&gt;&lt;D xsi:type="xsd:double"&gt;11.8568911634368&lt;/D&gt;&lt;D xsi:type="xsd:double"&gt;10.8363468693096&lt;/D&gt;&lt;D xsi:type="xsd:double"&gt;11.5732893083477&lt;/D&gt;&lt;D xsi:type="xsd:double"&gt;11.4103535680554&lt;/D&gt;&lt;D xsi:type="xsd:double"&gt;10.5320485092186&lt;/D&gt;&lt;D xsi:type="xsd:double"&gt;10.2294442593408&lt;/D&gt;&lt;D xsi:type="xsd:double"&gt;11.2137345714933&lt;/D&gt;&lt;D xsi:type="xsd:double"&gt;11.6912615629981&lt;/D&gt;&lt;D xsi:type="xsd:double"&gt;12.3686394937708&lt;/D&gt;&lt;D xsi:type="xsd:double"&gt;12.4371790758703&lt;/D&gt;&lt;D xsi:type="xsd:double"&gt;13.6882960843526&lt;/D&gt;&lt;D xsi:type="xsd:double"&gt;14.349428796176&lt;/D&gt;&lt;D xsi:type="xsd:double"&gt;14.0920282409924&lt;/D&gt;&lt;D xsi:type="xsd:double"&gt;13.6763475503703&lt;/D&gt;&lt;D xsi:type="xsd:double"&gt;13.9956499752845&lt;/D&gt;&lt;D xsi:type="xsd:double"&gt;14.5336753271615&lt;/D&gt;&lt;D xsi:type="xsd:double"&gt;13.2737580822902&lt;/D&gt;&lt;D xsi:type="xsd:double"&gt;13.9193565957582&lt;/D&gt;&lt;D xsi:type="xsd:double"&gt;13.9575415274081&lt;/D&gt;&lt;D xsi:type="xsd:double"&gt;14.5774674769073&lt;/D&gt;&lt;D xsi:type="xsd:double"&gt;14.7789863201427&lt;/D&gt;&lt;D xsi:type="xsd:double"&gt;16.181012466438&lt;/D&gt;&lt;D xsi:type="xsd:double"&gt;14.7864562734118&lt;/D&gt;&lt;D xsi:type="xsd:double"&gt;16.1374567740196&lt;/D&gt;&lt;D xsi:type="xsd:double"&gt;15.3855386740434&lt;/D&gt;&lt;D xsi:type="xsd:double"&gt;14.1338767875171&lt;/D&gt;&lt;/FQL&gt;&lt;FQL&gt;&lt;Q&gt;TIOS-FDS^FG_PRICE_CHANGE(0,-1AM)&lt;/Q&gt;&lt;R&gt;1&lt;/R&gt;&lt;C&gt;1&lt;/C&gt;&lt;D xsi:type="xsd:double"&gt;1.51246382223882&lt;/D&gt;&lt;/FQL&gt;&lt;FQL&gt;&lt;Q&gt;TUR^FG_ROE(0)&lt;/Q&gt;&lt;R&gt;1&lt;/R&gt;&lt;C&gt;1&lt;/C&gt;&lt;D xsi:type="xsd:double"&gt;18.0827596664476&lt;/D&gt;&lt;/FQL&gt;&lt;FQL&gt;&lt;Q&gt;CC_PH^IMF_IFS_RCPI_Q(0)&lt;/Q&gt;&lt;R&gt;0&lt;/R&gt;&lt;C&gt;0&lt;/C&gt;&lt;/FQL&gt;&lt;FQL&gt;&lt;Q&gt;TUR^P_PRICE(0)/P_PRICE_HIGH_PR(0,,,,,,"PRICE","INTRA","52W")&lt;/Q&gt;&lt;R&gt;1&lt;/R&gt;&lt;C&gt;1&lt;/C&gt;&lt;D xsi:type="xsd:double"&gt;0.9846881&lt;/D&gt;&lt;/FQL&gt;&lt;FQL&gt;&lt;Q&gt;TRYFR10Y-FDS^FG_YIELD(-10AY,0,Y,,"YTM")&lt;/Q&gt;&lt;R&gt;10&lt;/R&gt;&lt;C&gt;1&lt;/C&gt;&lt;D xsi:type="xsd:double"&gt;0.837&lt;/D&gt;&lt;D xsi:type="xsd:double"&gt;0.9989&lt;/D&gt;&lt;D xsi:type="xsd:double"&gt;0.682&lt;/D&gt;&lt;D xsi:type="xsd:double"&gt;0.785&lt;/D&gt;&lt;D xsi:type="xsd:double"&gt;0.71&lt;/D&gt;&lt;D xsi:type="xsd:double"&gt;0.118&lt;/D&gt;&lt;D xsi:type="xsd:double"&gt;-0.344&lt;/D&gt;&lt;D xsi:type="xsd:double"&gt;0.201&lt;/D&gt;&lt;D xsi:type="xsd:double"&gt;3.07&lt;/D&gt;&lt;D xsi:type="xsd:double"&gt;2.534&lt;/D&gt;&lt;/FQL&gt;&lt;FQL&gt;&lt;Q&gt;USDTWD^STD(FG_PRICE_CHANGE(0,-1AY,AM))&lt;/Q&gt;&lt;R&gt;1&lt;/R&gt;&lt;C&gt;1&lt;/C&gt;&lt;D xsi:type="xsd:double"&gt;1.34432938616273&lt;/D&gt;&lt;/FQL&gt;&lt;FQL&gt;&lt;Q&gt;USDPLN^FG_COMPANY_NAME&lt;/Q&gt;&lt;R&gt;1&lt;/R&gt;&lt;C&gt;1&lt;/C&gt;&lt;D xsi:type="xsd:string"&gt;Polish Zloty per U.S. Dollar&lt;/D&gt;&lt;/FQL&gt;&lt;FQL&gt;&lt;Q&gt;USDCNH^FG_PRICE_CHANGE(0,-6AM)&lt;/Q&gt;&lt;R&gt;1&lt;/R&gt;&lt;C&gt;1&lt;/C&gt;&lt;D xsi:type="xsd:double"&gt;1.062882&lt;/D&gt;&lt;/FQL&gt;&lt;FQL&gt;&lt;Q&gt;KSA^P_PRICE_RETURNS_PR('52W',2,-10AY,0,AM)&lt;/Q&gt;&lt;R&gt;121&lt;/R&gt;&lt;C&gt;1&lt;/C&gt;&lt;D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xsi:type="xsd:double"&gt;-14.12958&lt;/D&gt;&lt;D xsi:type="xsd:double"&gt;-21.937126&lt;/D&gt;&lt;D xsi:type="xsd:double"&gt;-1.2884438&lt;/D&gt;&lt;D xsi:type="xsd:double"&gt;5.6179643&lt;/D&gt;&lt;D xsi:type="xsd:double"&gt;23.92534&lt;/D&gt;&lt;D xsi:type="xsd:double"&gt;24.610138&lt;/D&gt;&lt;D xsi:type="xsd:double"&gt;11.421943&lt;/D&gt;&lt;D xsi:type="xsd:double"&gt;10.092759&lt;/D&gt;&lt;D xsi:type="xsd:double"&gt;6.5976024&lt;/D&gt;&lt;D xsi:type="xsd:double"&gt;9.876049&lt;/D&gt;&lt;D xsi:type="xsd:double"&gt;15.151167&lt;/D&gt;&lt;D xsi:type="xsd:double"&gt;18.32571&lt;/D&gt;&lt;D xsi:type="xsd:double"&gt;27.541996&lt;/D&gt;&lt;D xsi:type="xsd:double"&gt;26.950146&lt;/D&gt;&lt;D xsi:type="xsd:double"&gt;9.321475&lt;/D&gt;&lt;D xsi:type="xsd:double"&gt;3.9717555&lt;/D&gt;&lt;D xsi:type="xsd:double"&gt;15.092134&lt;/D&gt;&lt;D xsi:type="xsd:double"&gt;11.734295&lt;/D&gt;&lt;D xsi:type="xsd:double"&gt;17.611874&lt;/D&gt;&lt;D xsi:type="xsd:double"&gt;27.622341&lt;/D&gt;&lt;D xsi:type="xsd:double"&gt;23.27707&lt;/D&gt;&lt;D xsi:type="xsd:double"&gt;23.414886&lt;/D&gt;&lt;D xsi:type="xsd:double"&gt;23.609198&lt;/D&gt;&lt;D xsi:type="xsd:double"&gt;18.415403&lt;/D&gt;&lt;D xsi:type="xsd:double"&gt;11.390209&lt;/D&gt;&lt;D xsi:type="xsd:double"&gt;14.159691&lt;/D&gt;&lt;D xsi:type="xsd:double"&gt;13.8634205&lt;/D&gt;&lt;D xsi:type="xsd:double"&gt;15.696812&lt;/D&gt;&lt;D xsi:type="xsd:double"&gt;19.892609&lt;/D&gt;&lt;D xsi:type="xsd:double"&gt;19.165182&lt;/D&gt;&lt;D xsi:type="xsd:double"&gt;17.751455&lt;/D&gt;&lt;D xsi:type="xsd:double"&gt;15.72398&lt;/D&gt;&lt;D xsi:type="xsd:double"&gt;10.970486&lt;/D&gt;&lt;D xsi:type="xsd:double"&gt;14.787376&lt;/D&gt;&lt;D xsi:type="xsd:double"&gt;9.658027&lt;/D&gt;&lt;D xsi:type="xsd:double"&gt;11.8783&lt;/D&gt;&lt;D xsi:type="xsd:double"&gt;5.9788346&lt;/D&gt;&lt;D xsi:type="xsd:double"&gt;4.2744517&lt;/D&gt;&lt;D xsi:type="xsd:double"&gt;9.563553&lt;/D&gt;&lt;D xsi:type="xsd:double"&gt;9.887684&lt;/D&gt;&lt;D xsi:type="xsd:double"&gt;1.0899901&lt;/D&gt;&lt;D xsi:type="xsd:double"&gt;-7.856983&lt;/D&gt;&lt;D xsi:type="xsd:double"&gt;-29.125332&lt;/D&gt;&lt;D xsi:type="xsd:double"&gt;-28.765308&lt;/D&gt;&lt;D xsi:type="xsd:double"&gt;-18.834526&lt;/D&gt;&lt;D xsi:type="xsd:double"&gt;-18.883587&lt;/D&gt;&lt;D xsi:type="xsd:double"&gt;-17.413246&lt;/D&gt;&lt;D xsi:type="xsd:double"&gt;-9.062308&lt;/D&gt;&lt;D xsi:type="xsd:double"&gt;4.4763565&lt;/D&gt;&lt;D xsi:type="xsd:double"&gt;9.294092&lt;/D&gt;&lt;D xsi:type="xsd:double"&gt;4.7086954&lt;/D&gt;&lt;D xsi:type="xsd:double"&gt;4.915607&lt;/D&gt;&lt;D xsi:type="xsd:double"&gt;3.141725&lt;/D&gt;&lt;D xsi:type="xsd:double"&gt;14.814258&lt;/D&gt;&lt;D xsi:type="xsd:double"&gt;54.63537&lt;/D&gt;&lt;D xsi:type="xsd:double"&gt;55.135334&lt;/D&gt;&lt;D xsi:type="xsd:double"&gt;50.070415&lt;/D&gt;&lt;D xsi:type="xsd:double"&gt;46.54058&lt;/D&gt;&lt;D xsi:type="xsd:double"&gt;42.9821&lt;/D&gt;&lt;D xsi:type="xsd:double"&gt;45.5706&lt;/D&gt;&lt;D xsi:type="xsd:double"&gt;41.36486&lt;/D&gt;&lt;D xsi:type="xsd:double"&gt;45.0721&lt;/D&gt;&lt;D xsi:type="xsd:double"&gt;41.71188&lt;/D&gt;&lt;D xsi:type="xsd:double"&gt;32.130768&lt;/D&gt;&lt;D xsi:type="xsd:double"&gt;44.24324&lt;/D&gt;&lt;D xsi:type="xsd:double"&gt;43.234207&lt;/D&gt;&lt;D xsi:type="xsd:double"&gt;40.838326&lt;/D&gt;&lt;D xsi:type="xsd:double"&gt;37.519325&lt;/D&gt;&lt;D xsi:type="xsd:double"&gt;20.541477&lt;/D&gt;&lt;D xsi:type="xsd:double"&gt;10.196257&lt;/D&gt;&lt;D xsi:type="xsd:double"&gt;12.249708&lt;/D&gt;&lt;D xsi:type="xsd:double"&gt;13.421261&lt;/D&gt;&lt;D xsi:type="xsd:double"&gt;1.185751&lt;/D&gt;&lt;D xsi:type="xsd:double"&gt;0.6157398&lt;/D&gt;&lt;D xsi:type="xsd:double"&gt;-4.3842673&lt;/D&gt;&lt;D xsi:type="xsd:double"&gt;-8.301062&lt;/D&gt;&lt;D xsi:type="xsd:double"&gt;-12.111675&lt;/D&gt;&lt;D xsi:type="xsd:double"&gt;-15.503293&lt;/D&gt;&lt;D xsi:type="xsd:double"&gt;-22.194248&lt;/D&gt;&lt;D xsi:type="xsd:double"&gt;-17.692863&lt;/D&gt;&lt;D xsi:type="xsd:double"&gt;-6.8085074&lt;/D&gt;&lt;D xsi:type="xsd:double"&gt;0.73581934&lt;/D&gt;&lt;D xsi:</t>
        </r>
      </text>
    </comment>
    <comment ref="A11" authorId="0" shapeId="0" xr:uid="{4116FA1C-228A-45F0-BDD1-A07F04ACF467}">
      <text>
        <r>
          <rPr>
            <b/>
            <sz val="9"/>
            <color indexed="81"/>
            <rFont val="Tahoma"/>
            <charset val="1"/>
          </rPr>
          <t>type="xsd:double"&gt;1.8156886&lt;/D&gt;&lt;D xsi:type="xsd:double"&gt;-9.295964&lt;/D&gt;&lt;D xsi:type="xsd:double"&gt;-3.3589184&lt;/D&gt;&lt;D xsi:type="xsd:double"&gt;-11.255508&lt;/D&gt;&lt;D xsi:type="xsd:double"&gt;-0.45921803&lt;/D&gt;&lt;D xsi:type="xsd:double"&gt;15.847492&lt;/D&gt;&lt;D xsi:type="xsd:double"&gt;11.753094&lt;/D&gt;&lt;D xsi:type="xsd:double"&gt;20.104195&lt;/D&gt;&lt;D xsi:type="xsd:double"&gt;27.515865&lt;/D&gt;&lt;D xsi:type="xsd:double"&gt;9.175646&lt;/D&gt;&lt;D xsi:type="xsd:double"&gt;5.5571556&lt;/D&gt;&lt;D xsi:type="xsd:double"&gt;1.2025595&lt;/D&gt;&lt;D xsi:type="xsd:double"&gt;2.3836136&lt;/D&gt;&lt;/FQL&gt;&lt;FQL&gt;&lt;Q&gt;KSA^FMA_DIV_YLD(NTMA,-10AY,0,AM,"PORTAGG","MEANR")&lt;/Q&gt;&lt;R&gt;121&lt;/R&gt;&lt;C&gt;1&lt;/C&gt;&lt;D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xsi:type="xsd:double"&gt;4.23952417779848&lt;/D&gt;&lt;D xsi:type="xsd:double"&gt;4.67842399176262&lt;/D&gt;&lt;D xsi:type="xsd:double"&gt;4.61841343589144&lt;/D&gt;&lt;D xsi:type="xsd:double"&gt;5.37182939714206&lt;/D&gt;&lt;D xsi:type="xsd:double"&gt;5.13594986275153&lt;/D&gt;&lt;D xsi:type="xsd:double"&gt;4.62433079560035&lt;/D&gt;&lt;D xsi:type="xsd:double"&gt;4.28322102837895&lt;/D&gt;&lt;D xsi:type="xsd:double"&gt;4.06252638891689&lt;/D&gt;&lt;D xsi:type="xsd:double"&gt;4.09933278824744&lt;/D&gt;&lt;D xsi:type="xsd:double"&gt;4.19384704183943&lt;/D&gt;&lt;D xsi:type="xsd:double"&gt;4.52935644078758&lt;/D&gt;&lt;D xsi:type="xsd:double"&gt;4.79669287510927&lt;/D&gt;&lt;D xsi:type="xsd:double"&gt;5.00609758012222&lt;/D&gt;&lt;D xsi:type="xsd:double"&gt;4.16489593320795&lt;/D&gt;&lt;D xsi:type="xsd:double"&gt;3.91234656709798&lt;/D&gt;&lt;D xsi:type="xsd:double"&gt;3.88029885335832&lt;/D&gt;&lt;D xsi:type="xsd:double"&gt;3.76229850007478&lt;/D&gt;&lt;D xsi:type="xsd:double"&gt;3.97020161387718&lt;/D&gt;&lt;D xsi:type="xsd:double"&gt;3.98601177968147&lt;/D&gt;&lt;D xsi:type="xsd:double"&gt;4.06919195130257&lt;/D&gt;&lt;D xsi:type="xsd:double"&gt;3.84437983839956&lt;/D&gt;&lt;D xsi:type="xsd:double"&gt;3.74507042163723&lt;/D&gt;&lt;D xsi:type="xsd:double"&gt;4.05666734163374&lt;/D&gt;&lt;D xsi:type="xsd:double"&gt;4.22222477074656&lt;/D&gt;&lt;D xsi:type="xsd:double"&gt;4.39885507162746&lt;/D&gt;&lt;D xsi:type="xsd:double"&gt;4.34809194475481&lt;/D&gt;&lt;D xsi:type="xsd:double"&gt;4.28780938957042&lt;/D&gt;&lt;D xsi:type="xsd:double"&gt;4.17833897103137&lt;/D&gt;&lt;D xsi:type="xsd:double"&gt;4.23053411055241&lt;/D&gt;&lt;D xsi:type="xsd:double"&gt;4.01085395500916&lt;/D&gt;&lt;D xsi:type="xsd:double"&gt;3.73248878631695&lt;/D&gt;&lt;D xsi:type="xsd:double"&gt;3.84573118783838&lt;/D&gt;&lt;D xsi:type="xsd:double"&gt;3.81289023256847&lt;/D&gt;&lt;D xsi:type="xsd:double"&gt;3.76427222880482&lt;/D&gt;&lt;D xsi:type="xsd:double"&gt;4.14746897139404&lt;/D&gt;&lt;D xsi:type="xsd:double"&gt;4.36286800026919&lt;/D&gt;&lt;D xsi:type="xsd:double"&gt;4.34375690333288&lt;/D&gt;&lt;D xsi:type="xsd:double"&gt;4.47260356484434&lt;/D&gt;&lt;D xsi:type="xsd:double"&gt;4.2161654452056&lt;/D&gt;&lt;D xsi:type="xsd:double"&gt;3.91614136620434&lt;/D&gt;&lt;D xsi:type="xsd:double"&gt;3.92279258162656&lt;/D&gt;&lt;D xsi:type="xsd:double"&gt;3.83699842279387&lt;/D&gt;&lt;D xsi:type="xsd:double"&gt;3.67982187089095&lt;/D&gt;&lt;D xsi:type="xsd:double"&gt;3.8975753322706&lt;/D&gt;&lt;D xsi:type="xsd:double"&gt;3.79997531405289&lt;/D&gt;&lt;D xsi:type="xsd:double"&gt;3.76807437967153&lt;/D&gt;&lt;D xsi:type="xsd:double"&gt;3.96789633696201&lt;/D&gt;&lt;D xsi:type="xsd:double"&gt;4.22003875689884&lt;/D&gt;&lt;D xsi:type="xsd:double"&gt;4.36015209172467&lt;/D&gt;&lt;D xsi:type="xsd:double"&gt;4.06857301444578&lt;/D&gt;&lt;D xsi:type="xsd:double"&gt;3.97291018669976&lt;/D&gt;&lt;D xsi:type="xsd:double"&gt;3.95507481521245&lt;/D&gt;&lt;D xsi:type="xsd:double"&gt;4.33190861722889&lt;/D&gt;&lt;D xsi:type="xsd:double"&gt;5.46281856066492&lt;/D&gt;&lt;D xsi:type="xsd:double"&gt;4.84348307271625&lt;/D&gt;&lt;D xsi:type="xsd:double"&gt;4.32895720202054&lt;/D&gt;&lt;D xsi:type="xsd:double"&gt;3.88621252237311&lt;/D&gt;&lt;D xsi:type="xsd:double"&gt;3.87150583597144&lt;/D&gt;&lt;D xsi:type="xsd:double"&gt;3.57757284189241&lt;/D&gt;&lt;D xsi:type="xsd:double"&gt;3.39675853310361&lt;/D&gt;&lt;D xsi:type="xsd:double"&gt;3.26972158991882&lt;/D&gt;&lt;D xsi:type="xsd:double"&gt;3.41422191118777&lt;/D&gt;&lt;D xsi:type="xsd:double"&gt;3.48434441874551&lt;/D&gt;&lt;D xsi:type="xsd:double"&gt;3.46215827887574&lt;/D&gt;&lt;D xsi:type="xsd:double"&gt;3.5221003456142&lt;/D&gt;&lt;D xsi:type="xsd:double"&gt;3.52210636658325&lt;/D&gt;&lt;D xsi:type="xsd:double"&gt;3.30143202264683&lt;/D&gt;&lt;D xsi:type="xsd:double"&gt;3.31083234137958&lt;/D&gt;&lt;D xsi:type="xsd:double"&gt;3.21196821827935&lt;/D&gt;&lt;D xsi:type="xsd:double"&gt;3.27272008989052&lt;/D&gt;&lt;D xsi:type="xsd:double"&gt;3.17850640531489&lt;/D&gt;&lt;D xsi:type="xsd:double"&gt;3.05331717969245&lt;/D&gt;&lt;D xsi:type="xsd:double"&gt;2.87982628192849&lt;/D&gt;&lt;D xsi:type="xsd:double"&gt;3.04710545921532&lt;/D&gt;&lt;D xsi:type="xsd:double"&gt;3.21517494216495&lt;/D&gt;&lt;D xsi:type="xsd:double"&gt;2.99072010064289&lt;/D&gt;&lt;D xsi:type="xsd:double"&gt;2.97555718654825&lt;/D&gt;&lt;D xsi:type="xsd:double"&gt;2.91537022585127&lt;/D&gt;&lt;D xsi:type="xsd:double"&gt;2.74704916759342&lt;/D&gt;&lt;D xsi:type="xsd:double"&gt;2.98517715919964&lt;/D&gt;&lt;D xsi:type="xsd:double"&gt;3.12700401414628&lt;/D&gt;&lt;D xsi:type="xsd:double"&gt;3.27520397712058&lt;/D&gt;&lt;D xsi:type="xsd:double"&gt;3.03416121268551&lt;/D&gt;&lt;D xsi:type="xsd:double"&gt;3.44027185177089&lt;/D&gt;&lt;D xsi:type="xsd:double"&gt;3.33875316115135&lt;/D&gt;&lt;D xsi:type="xsd:double"&gt;3.50046441609435&lt;/D&gt;&lt;D xsi:type="xsd:double"&gt;3.88051147699446&lt;/D&gt;&lt;D xsi:type="xsd:double"&gt;3.67448641747484&lt;/D&gt;&lt;D xsi:type="xsd:double"&gt;3.70744418481803&lt;/D&gt;&lt;D xsi:type="xsd:double"&gt;3.94143410941606&lt;/D&gt;&lt;D xsi:type="xsd:double"&gt;3.44103807346626&lt;/D&gt;&lt;D xsi:type="xsd:double"&gt;3.46032679077593&lt;/D&gt;&lt;D xsi:type="xsd:double"&gt;3.44130377082594&lt;/D&gt;&lt;D xsi:type="xsd:double"&gt;3.37676479363313&lt;/D&gt;&lt;D xsi:type="xsd:double"&gt;3.58248133525959&lt;/D&gt;&lt;D xsi:type="xsd:double"&gt;3.71400861554122&lt;/D&gt;&lt;D xsi:type="xsd:double"&gt;3.9134589636909&lt;/D&gt;&lt;D xsi:type="xsd:double"&gt;3.76246759052252&lt;/D&gt;&lt;D xsi:type="xsd:double"&gt;3.56075255886619&lt;/D&gt;&lt;D xsi:type="xsd:double"&gt;3.48872547853601&lt;/D&gt;&lt;D xsi:type="xsd:double"&gt;3.31649063841276&lt;/D&gt;&lt;D xsi:type="xsd:double"&gt;3.31988706212885&lt;/D&gt;&lt;D xsi:type="xsd:double"&gt;3.44669785103065&lt;/D&gt;&lt;D xsi:type="xsd:double"&gt;3.58060429802461&lt;/D&gt;&lt;D xsi:type="xsd:double"&gt;3.69863274681612&lt;/D&gt;&lt;D xsi:type="xsd:double"&gt;3.54080683965188&lt;/D&gt;&lt;/FQL&gt;&lt;FQL&gt;&lt;Q&gt;KSA^FMA_PE(LTMA,-10AY,0,AM,"PORTAGG","MEANR")&lt;/Q&gt;&lt;R&gt;121&lt;/R&gt;&lt;C&gt;1&lt;/C&gt;&lt;D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xsi:type="xsd:double"&gt;10.6019883666102&lt;/D&gt;&lt;D xsi:type="xsd:double"&gt;11.1955725794001&lt;/D&gt;&lt;D xsi:type="xsd:double"&gt;11.8033989922631&lt;/D&gt;&lt;D xsi:type="xsd:double"&gt;11.9652140665354&lt;/D&gt;&lt;D xsi:type="xsd:double"&gt;12.417907622603&lt;/D&gt;&lt;D xsi:type="xsd:double"&gt;12.7448847562232&lt;/D&gt;&lt;D xsi:type="xsd:double"&gt;12.980599478818&lt;/D&gt;&lt;D xsi:type="xsd:double"&gt;12.7468556120395&lt;/D&gt;&lt;D xsi:type="xsd:double"&gt;12.6171598555635&lt;/D&gt;&lt;D xsi:type="xsd:double"&gt;12.2047759821277&lt;/D&gt;&lt;D xsi:type="xsd:double"&gt;13.9553568358771&lt;/D&gt;&lt;D xsi:type="xsd:double"&gt;14.9267550743365&lt;/D&gt;&lt;D xsi:type="xsd:double"&gt;14.8234435788731&lt;/D&gt;&lt;D xsi:type="xsd:double"&gt;15.3127913489727&lt;/D&gt;&lt;D xsi:type="xsd:double"&gt;15.3474771819022&lt;/D&gt;&lt;D xsi:type="xsd:double"&gt;15.2104305496077&lt;/D&gt;&lt;D xsi:type="xsd:double"&gt;15.0254642650804&lt;/D&gt;&lt;D xsi:type="xsd:double"&gt;15.1635365270033&lt;/D&gt;&lt;D xsi:type="xsd:double"&gt;15.316290748723&lt;/D&gt;&lt;D xsi:type="xsd:double"&gt;15.0257468088265&lt;/D&gt;&lt;D xsi:type="xsd:double"&gt;15.0632653865158&lt;/D&gt;&lt;D xsi:type="xsd:double"&gt;14.4085076008516&lt;/D&gt;&lt;D xsi:type="xsd:double"&gt;14.2644436978604&lt;/D&gt;&lt;D xsi:type="xsd:double"&gt;14.4001583869336&lt;/D&gt;&lt;D xsi:type="xsd:double"&gt;15.1818488965322&lt;/D&gt;&lt;D xsi:type="xsd:double"&gt;15.1638314019045&lt;/D&gt;&lt;D xsi:type="xsd:double"&gt;15.1414371991088&lt;/D&gt;&lt;D xsi:type="xsd:double"&gt;15.4189036742438&lt;/D&gt;&lt;D xsi:type="xsd:double"&gt;15.2966683315114&lt;/D&gt;&lt;D xsi:type="xsd:double"&gt;15.4866428897746&lt;/D&gt;&lt;D xsi:type="xsd:double"&gt;15.6449542027357&lt;/D&gt;&lt;D xsi:type="xsd:double"&gt;14.8330708820394&lt;/D&gt;&lt;D xsi:type="xsd:double"&gt;14.6308031096263&lt;/D&gt;&lt;D xsi:type="xsd:double"&gt;14.7209448734804&lt;/D&gt;&lt;D xsi:type="xsd:double"&gt;14.5069328558606&lt;/D&gt;&lt;D xsi:type="xsd:double"&gt;15.521338504151&lt;/D&gt;&lt;D xsi:type="xsd:double"&gt;16.8566496734161&lt;/D&gt;&lt;D xsi:type="xsd:double"&gt;17.3385931789753&lt;/D&gt;&lt;D xsi:type="xsd:double"&gt;17.2525424243494&lt;/D&gt;&lt;D xsi:type="xsd:double"&gt;17.5422659581207&lt;/D&gt;&lt;D xsi:type="xsd:double"&gt;17.1423796054792&lt;/D&gt;&lt;D xsi:type="xsd:double"&gt;17.4429596304882&lt;/D&gt;&lt;D xsi:type="xsd:double"&gt;17.6953424783659&lt;/D&gt;&lt;D xsi:type="xsd:double"&gt;17.8932002677089&lt;/D&gt;&lt;D xsi:type="xsd:double"&gt;18.0491119045955&lt;/D&gt;&lt;D xsi:type="xsd:double"&gt;17.8170223196797&lt;/D&gt;&lt;D xsi:type="xsd:double"&gt;18.7844041755072&lt;/D&gt;&lt;D xsi:type="xsd:double"&gt;19.7815357113049&lt;/D&gt;&lt;D xsi:type="xsd:double"&gt;20.2444810637303&lt;/D&gt;&lt;D xsi:type="xsd:double"&gt;18.4641932940878&lt;/D&gt;&lt;D xsi:type="xsd:double"&gt;17.076706537965&lt;/D&gt;&lt;D xsi:type="xsd:double"&gt;17.5019594286492&lt;/D&gt;&lt;D xsi:type="xsd:double"&gt;18.6467131370226&lt;/D&gt;&lt;D xsi:type="xsd:double"&gt;19.4492134113283&lt;/D&gt;&lt;D xsi:type="xsd:double"&gt;19.7993412503869&lt;/D&gt;&lt;D xsi:type="xsd:double"&gt;20.9719979106776&lt;/D&gt;&lt;D xsi:type="xsd:double"&gt;24.3711002891358&lt;/D&gt;&lt;D xsi:type="xsd:double"&gt;25.9649775448938&lt;/D&gt;&lt;D xsi:type="xsd:double"&gt;26.8435065854442&lt;/D&gt;&lt;D xsi:type="xsd:double"&gt;28.2855289519322&lt;/D&gt;&lt;D xsi:type="xsd:double"&gt;27.3933555922214&lt;/D&gt;&lt;D xsi:type="xsd:double"&gt;26.5962568148412&lt;/D&gt;&lt;D xsi:type="xsd:double"&gt;26.1747535211747&lt;/D&gt;&lt;D xsi:type="xsd:double"&gt;25.6709801979948&lt;/D&gt;&lt;D xsi:type="xsd:double"&gt;24.9477150600277&lt;/D&gt;&lt;D xsi:type="xsd:double"&gt;24.508783892075&lt;/D&gt;&lt;D xsi:type="xsd:double"&gt;23.5993744662883&lt;/D&gt;&lt;D xsi:type="xsd:double"&gt;23.1328002256627&lt;/D&gt;&lt;D xsi:type="xsd:double"&gt;22.6314214860152&lt;/D&gt;&lt;D xsi:type="xsd:double"&gt;22.2677362416461&lt;/D&gt;&lt;D xsi:type="xsd:double"&gt;21.1903604996735&lt;/D&gt;&lt;D xsi:type="xsd:double"&gt;19.8212980319474&lt;/D&gt;&lt;D xsi:type="xsd:double"&gt;21.2613598927045&lt;/D&gt;&lt;D xsi:type="xsd:double"&gt;21.4221181750838&lt;/D&gt;&lt;D xsi:type="xsd:double"&gt;21.3415165425804&lt;/D&gt;&lt;D xsi:type="xsd:double"&gt;21.2187082995147&lt;/D&gt;&lt;D xsi:type="xsd:double"&gt;20.1454405073484&lt;/D&gt;&lt;D xsi:type="xsd:double"&gt;19.4591547658457&lt;/D&gt;&lt;D xsi:type="xsd:double"&gt;19.183660614959&lt;/D&gt;&lt;D xsi:type="xsd:double"&gt;19.1499911445758&lt;/D&gt;&lt;D xsi:type="xsd:double"&gt;17.7180226342628&lt;/D&gt;&lt;D xsi:type="xsd:double"&gt;17.4799429730782&lt;/D&gt;&lt;D xsi:type="xsd:double"&gt;16.8436848056542&lt;/D&gt;&lt;D xsi:type="xsd:double"&gt;15.1627718667849&lt;/D&gt;&lt;D xsi:type="xsd:double"&gt;15.8861312802196&lt;/D&gt;&lt;D xsi:type="xsd:double"&gt;15.8615872482668&lt;/D&gt;&lt;D xsi:type="xsd:double"&gt;15.1169293565745&lt;/D&gt;&lt;D xsi:type="xsd:double"&gt;15.7718603387541&lt;/D&gt;&lt;D xsi:type="xsd:double"&gt;16.166994194635&lt;/D&gt;&lt;D xsi:type="xsd:double"&gt;16.6610463447365&lt;/D&gt;&lt;D xsi:type="xsd:double"&gt;17.3685639200103&lt;/D&gt;&lt;D xsi:type="xsd:double"&gt;17.6669247614217&lt;/D&gt;&lt;D xsi:type="xsd:double"&gt;17.4840246048326&lt;/D&gt;&lt;D xsi:type="xsd:double"&gt;17.3327878860548&lt;/D&gt;&lt;D xsi:type="xsd:double"&gt;18.4803035626869&lt;/D&gt;&lt;D xsi:type="xsd:double"&gt;20.2925276317008&lt;/D&gt;&lt;D xsi:type="xsd:double"&gt;21.0718389317312&lt;/D&gt;&lt;D xsi:type="xsd:double"&gt;21.5410166922372&lt;/D&gt;&lt;D xsi:type="xsd:double"&gt;21.6788899997594&lt;/D&gt;&lt;D xsi:type="xsd:double"&gt;21.2387486094218&lt;/D&gt;&lt;D xsi:type="xsd:double"&gt;20.7645965746143&lt;/D&gt;&lt;D xsi:type="xsd:double"&gt;20.1475739793714&lt;/D&gt;&lt;D xsi:type="xsd:double"&gt;20.4159894267381&lt;/D&gt;&lt;/FQL&gt;&lt;FQL&gt;&lt;Q&gt;CNYA^FMA_PE(LTMA,-10AY,0,AM,"PORTAGG","MEANR")&lt;/Q&gt;&lt;R&gt;121&lt;/R&gt;&lt;C&gt;1&lt;/C&gt;&lt;D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xsi:type="xsd:double"&gt;14.9009300730088&lt;/D&gt;&lt;D xsi:type="xsd:double"&gt;15.0193150681439&lt;/D&gt;&lt;D xsi:type="xsd:double"&gt;15.1531869357234&lt;/D&gt;&lt;D xsi:type="xsd:double"&gt;15.0331623830435&lt;/D&gt;&lt;D xsi:type="xsd:double"&gt;14.9109041023339&lt;/D&gt;&lt;D xsi:type="xsd:double"&gt;15.1662966930084&lt;/D&gt;&lt;D xsi:type="xsd:double"&gt;15.3658161441938&lt;/D&gt;&lt;D xsi:type="xsd:double"&gt;15.2262648771301&lt;/D&gt;&lt;D xsi:type="xsd:double"&gt;15.6452525594456&lt;/D&gt;&lt;D xsi:type="xsd:double"&gt;15.8788765064996&lt;/D&gt;&lt;D xsi:type="xsd:double"&gt;16.4337231882745&lt;/D&gt;&lt;D xsi:type="xsd:double"&gt;15.8837734431312&lt;/D&gt;&lt;D xsi:type="xsd:double"&gt;16.6355174167564&lt;/D&gt;&lt;D xsi:type="xsd:double"&gt;15.1560849487267&lt;/D&gt;&lt;D xsi:type="xsd:double"&gt;15.2384001198555&lt;/D&gt;&lt;D xsi:type="xsd:double"&gt;14.8518197249749&lt;/D&gt;&lt;D xsi:type="xsd:double"&gt;14.4946153535409&lt;/D&gt;&lt;D xsi:type="xsd:double"&gt;13.941643518736&lt;/D&gt;&lt;D xsi:type="xsd:double"&gt;13.2171310751848&lt;/D&gt;&lt;D xsi:type="xsd:double"&gt;12.4245753977471&lt;/D&gt;&lt;D xsi:type="xsd:double"&gt;12.4666130117022&lt;/D&gt;&lt;D xsi:type="xsd:double"&gt;11.6756432262948&lt;/D&gt;&lt;D xsi:type="xsd:double"&gt;11.8005770369963&lt;/D&gt;&lt;D xsi:type="xsd:double"&gt;11.0641863439597&lt;/D&gt;&lt;D xsi:type="xsd:double"&gt;11.1585439531637&lt;/D&gt;&lt;D xsi:type="xsd:double"&gt;12.0442315230375&lt;/D&gt;&lt;D xsi:type="xsd:double"&gt;12.7192077260054&lt;/D&gt;&lt;D xsi:type="xsd:double"&gt;12.8508937993221&lt;/D&gt;&lt;D xsi:type="xsd:double"&gt;12.3643048380474&lt;/D&gt;&lt;D xsi:type="xsd:double"&gt;12.5718068272788&lt;/D&gt;&lt;D xsi:type="xsd:double"&gt;12.5995819749724&lt;/D&gt;&lt;D xsi:type="xsd:double"&gt;12.5652545511573&lt;/D&gt;&lt;D xsi:type="xsd:double"&gt;12.9412737247158&lt;/D&gt;&lt;D xsi:type="xsd:double"&gt;12.8254150289857&lt;/D&gt;&lt;D xsi:type="xsd:double"&gt;13.0220303354572&lt;/D&gt;&lt;D xsi:type="xsd:double"&gt;14.3659278940583&lt;/D&gt;&lt;D xsi:type="xsd:double"&gt;14.8773719209135&lt;/D&gt;&lt;D xsi:type="xsd:double"&gt;14.6639345700881&lt;/D&gt;&lt;D xsi:type="xsd:double"&gt;13.9768536025582&lt;/D&gt;&lt;D xsi:type="xsd:double"&gt;14.1174923098835&lt;/D&gt;&lt;D xsi:type="xsd:double"&gt;14.3752469062715&lt;/D&gt;&lt;D xsi:type="xsd:double"&gt;14.8123871094528&lt;/D&gt;&lt;D xsi:type="xsd:double"&gt;15.8239170303248&lt;/D&gt;&lt;D xsi:type="xsd:double"&gt;16.5005837036337&lt;/D&gt;&lt;D xsi:type="xsd:double"&gt;17.1557115895771&lt;/D&gt;&lt;D xsi:type="xsd:double"&gt;17.473510614881&lt;/D&gt;&lt;D xsi:type="xsd:double"&gt;18.1233356988669&lt;/D&gt;&lt;D xsi:type="xsd:double"&gt;19.1764938579895&lt;/D&gt;&lt;D xsi:type="xsd:double"&gt;20.9500399113361&lt;/D&gt;&lt;D xsi:type="xsd:double"&gt;22.0819794585469&lt;/D&gt;&lt;D xsi:type="xsd:double"&gt;19.7692524856185&lt;/D&gt;&lt;D xsi:type="xsd:double"&gt;19.484871533482&lt;/D&gt;&lt;D xsi:type="xsd:double"&gt;19.302468299657&lt;/D&gt;&lt;D xsi:type="xsd:double"&gt;19.0950189745454&lt;/D&gt;&lt;D xsi:type="xsd:double"&gt;18.7303252343301&lt;/D&gt;&lt;D xsi:type="xsd:double"&gt;18.0326702043527&lt;/D&gt;&lt;D xsi:type="xsd:double"&gt;17.9899155153405&lt;/D&gt;&lt;D xsi:type="xsd:double"&gt;17.9573137297524&lt;/D&gt;&lt;D xsi:type="xsd:double"&gt;17.8911925850707&lt;/D&gt;&lt;D xsi:type="xsd:double"&gt;18.3730966098568&lt;/D&gt;&lt;D xsi:type="xsd:double"&gt;17.3884853168959&lt;/D&gt;&lt;D xsi:type="xsd:double"&gt;16.8296546343464&lt;/D&gt;&lt;D xsi:type="xsd:double"&gt;16.3365675261236&lt;/D&gt;&lt;D xsi:type="xsd:double"&gt;15.9344326561012&lt;/D&gt;&lt;D xsi:type="xsd:double"&gt;15.6664533353121&lt;/D&gt;&lt;D xsi:type="xsd:double"&gt;15.8497997071801&lt;/D&gt;&lt;D xsi:type="xsd:double"&gt;15.606622876408&lt;/D&gt;&lt;D xsi:type="xsd:double"&gt;15.2336449462985&lt;/D&gt;&lt;D xsi:type="xsd:double"&gt;14.5995761028103&lt;/D&gt;&lt;D xsi:type="xsd:double"&gt;13.9762676870241&lt;/D&gt;&lt;D xsi:type="xsd:double"&gt;14.1414088456082&lt;/D&gt;&lt;D xsi:type="xsd:double"&gt;14.1923009322409&lt;/D&gt;&lt;D xsi:type="xsd:double"&gt;14.9657689215669&lt;/D&gt;&lt;D xsi:type="xsd:double"&gt;14.5798814546035&lt;/D&gt;&lt;D xsi:type="xsd:double"&gt;14.4383376947722&lt;/D&gt;&lt;D xsi:type="xsd:double"&gt;14.4307422147446&lt;/D&gt;&lt;D xsi:type="xsd:double"&gt;14.1493602696714&lt;/D&gt;&lt;D xsi:type="xsd:double"&gt;14.1658664058435&lt;/D&gt;&lt;D xsi:type="xsd:double"&gt;13.8226533021122&lt;/D&gt;&lt;D xsi:type="xsd:double"&gt;13.6969981805686&lt;/D&gt;&lt;D xsi:type="xsd:double"&gt;13.7936074197089&lt;/D&gt;&lt;D xsi:type="xsd:double"&gt;13.1488415239632&lt;/D&gt;&lt;D xsi:type="xsd:double"&gt;13.6463409369964&lt;/D&gt;&lt;D xsi:type="xsd:double"&gt;13.1107012073644&lt;/D&gt;&lt;D xsi:type="xsd:double"&gt;12.6042484748502&lt;/D&gt;&lt;D xsi:type="xsd:double"&gt;12.9755730873366&lt;/D&gt;&lt;D xsi:type="xsd:double"&gt;13.573127169747&lt;/D&gt;&lt;D xsi:type="xsd:double"&gt;13.5774267510872&lt;/D&gt;&lt;D xsi:type="xsd:double"&gt;13.8414924251937&lt;/D&gt;&lt;D xsi:type="xsd:double"&gt;13.5688442616497&lt;/D&gt;&lt;D xsi:type="xsd:double"&gt;13.3438898806825&lt;/D&gt;&lt;/FQL&gt;&lt;FQL&gt;&lt;Q&gt;PASP-FDS^FG_PRICE_CHANGE(0,-3AM)&lt;/Q&gt;&lt;R&gt;1&lt;/R&gt;&lt;C&gt;1&lt;/C&gt;&lt;D xsi:type="xsd:double"&gt;-5.88235294117647&lt;/D&gt;&lt;/FQL&gt;&lt;FQL&gt;&lt;Q&gt;PLATI-FDS^FG_PRICE(0)&lt;/Q&gt;&lt;R&gt;1&lt;/R&gt;&lt;C&gt;1&lt;/C&gt;&lt;D xsi:type="xsd:double"&gt;1000&lt;/D&gt;&lt;/FQL&gt;&lt;FQL&gt;&lt;Q&gt;BRENT-FDS^FG_PRICE_CHANGE(0,-1AY)&lt;/Q&gt;&lt;R&gt;1&lt;/R&gt;&lt;C&gt;1&lt;/C&gt;&lt;D xsi:type="xsd:double"&gt;6.81761632246829&lt;/D&gt;&lt;/FQL&gt;&lt;FQL&gt;&lt;Q&gt;TUR^FG_PRICE_MAVG(0,,,,30)&lt;/Q&gt;&lt;R&gt;1&lt;/R&gt;&lt;C&gt;1&lt;/C&gt;&lt;D xsi:type="xsd:double"&gt;42.116333&lt;/D&gt;&lt;/FQL&gt;&lt;FQL&gt;&lt;Q&gt;GREK^FG_PRICE_MAVG(0,,,,60)&lt;/Q&gt;&lt;R&gt;1&lt;/R&gt;&lt;C&gt;1&lt;/C&gt;&lt;D xsi:type="xsd:double"&gt;41.28046&lt;/D&gt;&lt;/FQL&gt;&lt;FQL&gt;&lt;Q&gt;EWT^FG_PRICE_MAVG(0,,,,200)&lt;/Q&gt;&lt;R&gt;1&lt;/R&gt;&lt;C&gt;1&lt;/C&gt;&lt;D xsi:type="xsd:double"&gt;48.1405&lt;/D&gt;&lt;/FQL&gt;&lt;FQL&gt;&lt;Q&gt;KSA^PERCENT_CHANGE(FMA_EPS(+1,0,,,,"PORTAGG","MEAN"),FMA_EPS(+1,-1AM,,,,"PORTAGG","MEAN"))&lt;/Q&gt;&lt;R&gt;1&lt;/R&gt;&lt;C&gt;1&lt;/C&gt;&lt;D xsi:type="xsd:double"&gt;-4.28576549684211&lt;/D&gt;&lt;/FQL&gt;&lt;FQL&gt;&lt;Q&gt;TUR^P_PRICE(0)/P_PRICE_LOW_PR(0,,,,,,"PRICE","INTRA","52W")-1&lt;/Q&gt;&lt;R&gt;1&lt;/R&gt;&lt;C&gt;1&lt;/C&gt;&lt;D xsi:type="xsd:double"&gt;0.4304874&lt;/D&gt;&lt;/FQL&gt;&lt;FQL&gt;&lt;Q&gt;QAT^P_PRICE(0)/P_PRICE_HIGH_PR(0,,,,,,"PRICE","INTRA","52W")&lt;/Q&gt;&lt;R&gt;1&lt;/R&gt;&lt;C&gt;1&lt;/C&gt;&lt;D xsi:type="xsd:double"&gt;0.8828125&lt;/D&gt;&lt;/FQL&gt;&lt;FQL&gt;&lt;Q&gt;INDA^FG_TOTAL_RETURNC(0,-6AM)&lt;/Q&gt;&lt;R&gt;1&lt;/R&gt;&lt;C&gt;1&lt;/C&gt;&lt;D xsi:type="xsd:double"&gt;13.288975&lt;/D&gt;&lt;/FQL&gt;&lt;FQL&gt;&lt;Q&gt;EWT^FMA_PCT_ABOVE_MAVG(200,0,,,,"PORTAGG")&lt;/Q&gt;&lt;R&gt;1&lt;/R&gt;&lt;C&gt;1&lt;/C&gt;&lt;D xsi:type="xsd:double"&gt;75.2808988764045&lt;/D&gt;&lt;/FQL&gt;&lt;FQL&gt;&lt;Q&gt;EIDO^FG_TOTAL_RETURNC(0,-12AM)&lt;/Q&gt;&lt;R&gt;1&lt;/R&gt;&lt;C&gt;1&lt;/C&gt;&lt;D xsi:type="xsd:double"&gt;-10.459632&lt;/D&gt;&lt;/FQL&gt;&lt;FQL&gt;&lt;Q&gt;CNYA^P_PRICE(0)/P_PRICE_LOW_PR(0,,,,,,"PRICE","INTRA","52W")-1&lt;/Q&gt;&lt;R&gt;1&lt;/R&gt;&lt;C&gt;1&lt;/C&gt;&lt;D xsi:type="xsd:double"&gt;0.12375152&lt;/D&gt;&lt;/FQL&gt;&lt;FQL&gt;&lt;Q&gt;URTH^FG_TOTAL_RETURNC(0,-3AM)&lt;/Q&gt;&lt;R&gt;1&lt;/R&gt;&lt;C&gt;1&lt;/C&gt;&lt;D xsi:type="xsd:double"&gt;9.529877&lt;/D&gt;&lt;/FQL&gt;&lt;FQL&gt;&lt;Q&gt;EPHE^FMA_COS_DOWN("EPS","1M",+1,NOW,,,"PORTAGG","MEANR")&lt;/Q&gt;&lt;R&gt;1&lt;/R&gt;&lt;C&gt;1&lt;/C&gt;&lt;D xsi:type="xsd:double"&gt;17&lt;/D&gt;&lt;/FQL&gt;&lt;FQL&gt;&lt;Q&gt;INDA^FMA_RBICS_REV_CURRENT(30, LOC, "PORTAGG")&lt;/Q&gt;&lt;R&gt;1&lt;/R&gt;&lt;C&gt;1&lt;/C&gt;&lt;D xsi:type="xsd:double"&gt;29.5919232588796&lt;/D&gt;&lt;/FQL&gt;&lt;FQL&gt;&lt;Q&gt;TRYSA10Y-FDS^FG_YIELD_NAME&lt;/Q&gt;&lt;R&gt;1&lt;/R&gt;&lt;C&gt;1&lt;/C&gt;&lt;D xsi:type="xsd:string"&gt;Treasury - SAUDI ARABIA Benchmark Bond 10Y&lt;/D&gt;&lt;/FQL&gt;&lt;FQL&gt;&lt;Q&gt;TRYPH10Y-FDS^FG_YIELD_NAME&lt;/Q&gt;&lt;R&gt;1&lt;/R&gt;&lt;C&gt;1&lt;/C&gt;&lt;D xsi:type="xsd:string"&gt;Philippines Benchmark Bond - 10 Year&lt;/D&gt;&lt;/FQL&gt;&lt;FQL&gt;&lt;Q&gt;INDA^FG_FCF_YIELD_NTM(0)&lt;/Q&gt;&lt;R&gt;1&lt;/R&gt;&lt;C&gt;1&lt;/C&gt;&lt;D xsi:type="xsd:double"&gt;2.69071275109166&lt;/D&gt;&lt;/FQL&gt;&lt;FQL&gt;&lt;Q&gt;EZA^FMA_PE(LTM,0,,,"PORTAGG","MEANR")&lt;/Q&gt;&lt;R&gt;1&lt;/R&gt;&lt;C&gt;1&lt;/C&gt;&lt;D xsi:type="xsd:double"&gt;12.5238015285314&lt;/D&gt;&lt;/FQL&gt;&lt;FQL&gt;&lt;Q&gt;ECH^FMA_DIV_YLD(NTMA,NOW,NOW,M,"PORTAGG","MEANR")&lt;/Q&gt;&lt;R&gt;1&lt;/R&gt;&lt;C&gt;1&lt;/C&gt;&lt;D xsi:type="xsd:double"&gt;5.32337938706068&lt;/D&gt;&lt;/FQL&gt;&lt;FQL&gt;&lt;Q&gt;EIDO^P_PRICE(0)/P_PRICE_LOW_PR(0,,,,,,"PRICE","INTRA","52W")-1&lt;/Q&gt;&lt;R&gt;1&lt;/R&gt;&lt;C&gt;1&lt;/C&gt;&lt;D xsi:type="xsd:double"&gt;0.116086245&lt;/D&gt;&lt;/FQL&gt;&lt;FQL&gt;&lt;Q&gt;VWO^PERCENT_CHANGE(FMA_EPS(+1,0,,,,"PORTAGG","MEAN"),FMA_EPS(+1,-1AM,,,,"PORTAGG","MEAN"))&lt;/Q&gt;&lt;R&gt;1&lt;/R&gt;&lt;C&gt;1&lt;/C&gt;&lt;D xsi:type="xsd:double"&gt;0&lt;/D&gt;&lt;/FQL&gt;&lt;FQL&gt;&lt;Q&gt;VGK^FMA_COS_DOWN("EPS","1M",+1,NOW,,,"PORTAGG","MEANR")&lt;/Q&gt;&lt;R&gt;1&lt;/R&gt;&lt;C&gt;1&lt;/C&gt;&lt;D xsi:type="xsd:double"&gt;438&lt;/D&gt;&lt;/FQL&gt;&lt;FQL&gt;&lt;Q&gt;QAT^FMA_COS_DOWN("EPS","1M",+1,NOW,,,"PORTAGG","MEANR")&lt;/Q&gt;&lt;R&gt;1&lt;/R&gt;&lt;C&gt;1&lt;/C&gt;&lt;D xsi:type="xsd:double"&gt;3&lt;/D&gt;&lt;/FQL&gt;&lt;FQL&gt;&lt;Q&gt;EWY^FMA_COS_DOWN("EPS","1M",+1,NOW,,,"PORTAGG","MEANR")&lt;/Q&gt;&lt;R&gt;1&lt;/R&gt;&lt;C&gt;1&lt;/C&gt;&lt;D xsi:type="xsd:double"&gt;37&lt;/D&gt;&lt;/FQL&gt;&lt;FQL&gt;&lt;Q&gt;SET-BKK^FG_ROE(0)&lt;/Q&gt;&lt;R&gt;1&lt;/R&gt;&lt;C&gt;1&lt;/C&gt;&lt;D xsi:type="xsd:double"&gt;7.52625947359066&lt;/D&gt;&lt;/FQL&gt;&lt;FQL&gt;&lt;Q&gt;TRYID10Y-FDS^FG_YIELD_NAME&lt;/Q&gt;&lt;R&gt;1&lt;/R&gt;&lt;C&gt;1&lt;/C&gt;&lt;D xsi:type="xsd:string"&gt;Treasury - Indonesia Benchmark Bond 10Y&lt;/D&gt;&lt;/FQL&gt;&lt;FQL&gt;&lt;Q&gt;TRYVN10Y-FDS^PCTCHG(FG_YIELD(0,,,,"YTM"),FG_YIELD(-3AM,,,,"YTM"))&lt;/Q&gt;&lt;R&gt;1&lt;/R&gt;&lt;C&gt;1&lt;/C&gt;&lt;D xsi:type="xsd:double"&gt;-2.2608078&lt;/D&gt;&lt;/FQL&gt;&lt;FQL&gt;&lt;Q&gt;TRYID10Y-FDS^PCTCHG(FG_YIELD(0,,,,"YTM"),FG_YIELD(-3AM,,,,"YTM"))&lt;/Q&gt;&lt;R&gt;1&lt;/R&gt;&lt;C&gt;1&lt;/C&gt;&lt;D xsi:type="xsd:double"&gt;-1.5633897&lt;/D&gt;&lt;/FQL&gt;&lt;FQL&gt;&lt;Q&gt;TRYTH10Y-FDS^FG_YIELD_NAME&lt;/Q&gt;&lt;R&gt;1&lt;/R&gt;&lt;C&gt;1&lt;/C&gt;&lt;D xsi:type="xsd:string"&gt;Thailand Benchmark Bond - 10 Year&lt;/D&gt;&lt;/FQL&gt;&lt;FQL&gt;&lt;Q&gt;TRYTW10Y-FDS^FG_YIELD(0,,,,"YTM")&lt;/Q&gt;&lt;R&gt;1&lt;/R&gt;&lt;C&gt;1&lt;/C&gt;&lt;D xsi:type="xsd:double"&gt;1.66&lt;/D&gt;&lt;/FQL&gt;&lt;FQL&gt;&lt;Q&gt;KSA^FMA_EVAL_EBIT(LTMA,NOW,NOW,M,"PORTAGG","MEANR")&lt;/Q&gt;&lt;R&gt;1&lt;/R&gt;&lt;C&gt;1&lt;/C&gt;&lt;D xsi:type="xsd:double"&gt;21.1081184043034&lt;/D&gt;&lt;/FQL&gt;&lt;FQL&gt;&lt;Q&gt;SET-BKK^JULIAN(FMA_DIV_YLD(NTMA,NOW,NOW,M,"PORTAGG","MEANR").DATES)&lt;/Q&gt;&lt;R&gt;1&lt;/R&gt;&lt;C&gt;1&lt;/C&gt;&lt;D xsi:type="xsd:long"&gt;45471&lt;/D&gt;&lt;/FQL&gt;&lt;FQL&gt;&lt;Q&gt;EZA^JULIAN(FMA_DIV_YLD(NTMA,NOW,NOW,M,"PORTAGG","MEANR").DATES)&lt;/Q&gt;&lt;R&gt;1&lt;/R&gt;&lt;C&gt;1&lt;/C&gt;&lt;D xsi:type="xsd:long"&gt;45471&lt;/D&gt;&lt;/FQL&gt;&lt;FQL&gt;&lt;Q&gt;EWT^FG_PRICE_MAVG(0,,,,60)&lt;/Q&gt;&lt;R&gt;1&lt;/R&gt;&lt;C&gt;1&lt;/C&gt;&lt;D xsi:type="xsd:double"&gt;51.945&lt;/D&gt;&lt;/FQL&gt;&lt;FQL&gt;&lt;Q&gt;EWM^FG_TOTAL_RETURNC(0,-12AM)&lt;/Q&gt;&lt;R&gt;1&lt;/R&gt;&lt;C&gt;1&lt;/C&gt;&lt;D xsi:type="xsd:double"&gt;15.061892&lt;/D&gt;&lt;/FQL&gt;&lt;FQL&gt;&lt;Q&gt;EPHE^FMA_COS_UP("EPS","1M",+1,NOW,,,"PORTAGG","MEANR")&lt;/Q&gt;&lt;R&gt;1&lt;/R&gt;&lt;C&gt;1&lt;/C&gt;&lt;D xsi:type="xsd:double"&gt;9&lt;/D&gt;&lt;/FQL&gt;&lt;FQL&gt;&lt;Q&gt;QAT^FG_ROE(0)&lt;/Q&gt;&lt;R&gt;1&lt;/R&gt;&lt;C&gt;1&lt;/C&gt;&lt;D xsi:type="xsd:double"&gt;11.1875816384222&lt;/D&gt;&lt;/FQL&gt;&lt;FQL&gt;&lt;Q&gt;TRYVN10Y-FDS^FG_YIELD_NAME&lt;/Q&gt;&lt;R&gt;1&lt;/R&gt;&lt;C&gt;1&lt;/C&gt;&lt;D xsi:type="xsd:string"&gt;Treasury - Vietnam Benchmark Bond 10Y&lt;/D&gt;&lt;/FQL&gt;&lt;FQL&gt;&lt;Q&gt;USDAED^STD(FG_PRICE_CHANGE(0,-3AY,M))&lt;/Q&gt;&lt;R&gt;1&lt;/R&gt;&lt;C&gt;1&lt;/C&gt;&lt;D xsi:type="xsd:double"&gt;0.008718447877662&lt;/D&gt;&lt;/FQL&gt;&lt;FQL&gt;&lt;Q&gt;USDBRL^STD(FG_PRICE_CHANGE(0,-3AY,M))&lt;/Q&gt;&lt;R&gt;1&lt;/R&gt;&lt;C&gt;1&lt;/C&gt;&lt;D xsi:type="xsd:double"&gt;3.65729592104035&lt;/D&gt;&lt;/FQL&gt;&lt;FQL&gt;&lt;Q&gt;VNM^FG_TOTAL_RETURNC(-10AY,0,AM)&lt;/Q&gt;&lt;R&gt;121&lt;/R&gt;&lt;C&gt;1&lt;/C&gt;&lt;D xsi:type="xsd:double"&gt;4.190743&lt;/D&gt;&lt;D xsi:type="xsd:double"&gt;1.5718937&lt;/D&gt;&lt;D xsi:type="xsd:double"&gt;1.7296314&lt;/D&gt;&lt;D xsi:type="xsd:double"&gt;-6.7114115&lt;/D&gt;&lt;D xsi:type="xsd:double"&gt;0.095927715&lt;/D&gt;&lt;D xsi:type="xsd:double"&gt;-10.397702&lt;/D&gt;&lt;D xsi:type="xsd:double"&gt;3.6359549&lt;/D&gt;&lt;D xsi:type="xsd:double"&gt;3.3403993&lt;/D&gt;&lt;D xsi:type="xsd:double"&gt;-10.466904&lt;/D&gt;&lt;D xsi:type="xsd:double"&gt;4.4126034&lt;/D&gt;&lt;D xsi:type="xsd:double"&gt;-8.6169&lt;/D&gt;&lt;D xsi:type="xsd:double"&gt;8.168173&lt;/D&gt;&lt;D xsi:type="xsd:double"&gt;6.440866&lt;/D&gt;&lt;D xsi:type="xsd:double"&gt;-13.458527&lt;/D&gt;&lt;D xsi:type="xsd:double"&gt;-5.666065&lt;/D&gt;&lt;D xsi:type="xsd:double"&gt;10.926521&lt;/D&gt;&lt;D xsi:type="xsd:double"&gt;-5.587566&lt;/D&gt;&lt;D xsi:type="xsd:double"&gt;-10.0061&lt;/D&gt;&lt;D xsi:type="xsd:double"&gt;-8.291036&lt;/D&gt;&lt;D xsi:type="xsd:double"&gt;6.5234065&lt;/D&gt;&lt;D xsi:type="xsd:double"&gt;2.0893335&lt;/D&gt;&lt;D xsi:type="xsd:double"&gt;-1.0585725&lt;/D&gt;&lt;D xsi:type="xsd:double"&gt;2.9957175&lt;/D&gt;&lt;D xsi:type="xsd:double"&gt;-0.20775199&lt;/D&gt;&lt;D xsi:type="xsd:double"&gt;6.384456&lt;/D&gt;&lt;D xsi:type="xsd:double"&gt;0.13046265&lt;/D&gt;&lt;D xsi:type="xsd:double"&gt;-5.667758&lt;/D&gt;&lt;D xsi:type="xsd:double"&gt;2.9696107&lt;/D&gt;&lt;D xsi:type="xsd:double"&gt;-7.981217&lt;/D&gt;&lt;D xsi:type="xsd:double"&gt;-3.5860062&lt;/D&gt;&lt;D xsi:type="xsd:double"&gt;2.3237824&lt;/D&gt;&lt;D xsi:type="xsd:double"&gt;5.22331&lt;/D&gt;&lt;D xsi:type="xsd:double"&gt;-1.5827298&lt;/D&gt;&lt;D xsi:type="xsd:double"&gt;1.5350938&lt;/D&gt;&lt;D xsi:type="xsd:double"&gt;1.1519074&lt;/D&gt;&lt;D xsi:type="xsd:double"&gt;6.1209917&lt;/D&gt;&lt;D xsi:type="xsd:double"&gt;-1.7437994&lt;/D&gt;&lt;D xsi:type="xsd:double"&gt;-3.139931&lt;/D&gt;&lt;D xsi:type="xsd:double"&gt;5.919659&lt;/D&gt;&lt;D xsi:type="xsd:double"&gt;3.0605435&lt;/D&gt;&lt;D xsi:type="xsd:double"&gt;8.134281&lt;/D&gt;&lt;D xsi:type="xsd:double"&gt;1.2608409&lt;/D&gt;&lt;D xsi:type="xsd:double"&gt;12.834239&lt;/D&gt;&lt;D xsi:type="xsd:double"&gt;-0.21119714&lt;/D&gt;&lt;D xsi:type="xsd:double"&gt;1.3756633&lt;/D&gt;&lt;D xsi:type="xsd:double"&gt;-3.4968674&lt;/D&gt;&lt;D xsi:type="xsd:double"&gt;-5.246073&lt;/D&gt;&lt;D xsi:type="xsd:double"&gt;-8.27626&lt;/D&gt;&lt;D xsi:type="xsd:double"&gt;-0.8089602&lt;/D&gt;&lt;D xsi:type="xsd:double"&gt;2.8858185&lt;/D&gt;&lt;D xsi:type="xsd:double"&gt;2.4999976&lt;/D&gt;&lt;D xsi:type="xsd:double"&gt;-7.2575808&lt;/D&gt;&lt;D xsi:type="xsd:double"&gt;-3.8486242&lt;/D&gt;&lt;D xsi:type="xsd:double"&gt;-0.40026307&lt;/D&gt;&lt;D xsi:type="xsd:double"&gt;4.462445&lt;/D&gt;&lt;D xsi:type="xsd:double"&gt;7.4983716&lt;/D&gt;&lt;D xsi:type="xsd:double"&gt;2.6458263&lt;/D&gt;&lt;D xsi:type="xsd:double"&gt;-2.2847056&lt;/D&gt;&lt;D xsi:type="xsd:double"&gt;-1.5587568&lt;/D&gt;&lt;D xsi:type="xsd:double"&gt;-0.66992044&lt;/D&gt;&lt;D xsi:type="xsd:double"&gt;0.36787987&lt;/D&gt;&lt;D xsi:type="xsd:double"&gt;-4.5204697&lt;/D&gt;&lt;D xsi:type="xsd:double"&gt;2.8790832&lt;/D&gt;&lt;D xsi:type="xsd:double"&gt;0.37312508&lt;/D&gt;&lt;D xsi:type="xsd:double"&gt;1.3011217&lt;/D&gt;&lt;D xsi:type="xsd:double"&gt;-3.48624&lt;/D&gt;&lt;D xsi:type="xsd:double"&gt;2.4897099&lt;/D&gt;&lt;D xsi:type="xsd:double"&gt;-6.4174356&lt;/D&gt;&lt;D xsi:type="xsd:double"&gt;-29.893482&lt;/D&gt;&lt;D xsi:type="xsd:double"&gt;16.334284&lt;/D&gt;&lt;D xsi:type="xsd:double"&gt;6.448984&lt;/D&gt;&lt;D xsi:type="xsd:double"&gt;5.4831266&lt;/D&gt;&lt;D xsi:type="xsd:double"&gt;5.4162145&lt;/D&gt;&lt;D xsi:type="xsd:double"&gt;-1.7241359&lt;/D&gt;&lt;D xsi:type="xsd:double"&gt;3.9999962&lt;/D&gt;&lt;D xsi:type="xsd:double"&gt;0.6072879&lt;/D&gt;&lt;D xsi:type="xsd:double"&gt;5.164325&lt;/D&gt;&lt;D xsi:type="xsd:double"&gt;7.5255156&lt;/D&gt;&lt;D xsi:type="xsd:double"&gt;6.312239&lt;/D&gt;&lt;D xsi:type="xsd:double"&gt;3.02521&lt;/D&gt;&lt;D xsi:type="xsd:double"&gt;-2.7188718&lt;/D&gt;&lt;D xsi:type="xsd:double"&gt;9.223043&lt;/D&gt;&lt;D xsi:type="xsd:double"&gt;-3.5312235&lt;/D&gt;&lt;D xsi:type="xsd:double"&gt;6.153846&lt;/D&gt;&lt;D xsi:type="xsd:double"&gt;-6.3968062&lt;/D&gt;&lt;D xsi:type="xsd:double"&gt;3.924191&lt;/D&gt;&lt;D xsi:type="xsd:double"&gt;1.9265294&lt;/D&gt;&lt;D xsi:type="xsd:double"&gt;-0.6552458&lt;/D&gt;&lt;D xsi:type="xsd:double"&gt;4.211068&lt;/D&gt;&lt;D xsi:type="xsd:double"&gt;1.1197686&lt;/D&gt;&lt;D xsi:type="xsd:double"&gt;-4.4350266&lt;/D&gt;&lt;D xsi:type="xsd:double"&gt;0.20253658&lt;/D&gt;&lt;D xsi:type="xsd:double"&gt;-4.749876&lt;/D&gt;&lt;D xsi:type="xsd:double"&gt;-6.100792&lt;/D&gt;&lt;D xsi:type="xsd:double"&gt;-11.864406&lt;/D&gt;&lt;D xsi:type="xsd:double"&gt;-5.000007&lt;/D&gt;&lt;D xsi:type="xsd:double"&gt;-2.024287&lt;/D&gt;&lt;D xsi:type="xsd:double"&gt;6.404948&lt;/D&gt;&lt;D xsi:type="xsd:double"&gt;-6.9902897&lt;/D&gt;&lt;D xsi:type="xsd:double"&gt;-14.961725&lt;/D&gt;&lt;D xsi:type="xsd:double"&gt;-6.873977&lt;/D&gt;&lt;D xsi:type="xsd:double"&gt;7.7381253&lt;/D&gt;&lt;D xsi:type="xsd:double"&gt;6.12098&lt;/D&gt;&lt;D xsi:type="xsd:double"&gt;-7.835531&lt;/D&gt;&lt;D xsi:type="xsd:double"&gt;-2.1043777&lt;/D&gt;&lt;D xsi:type="xsd:double"&gt;2.837491&lt;/D&gt;&lt;D xsi:type="xsd:double"&gt;3.4280896&lt;/D&gt;&lt;D xsi:type="xsd:double"&gt;6.1439037&lt;/D&gt;&lt;D xsi:type="xsd:double"&gt;6.3214064&lt;/D&gt;&lt;D xsi:type="xsd:double"&gt;1.5759349&lt;/D&gt;&lt;D xsi:type="xsd:double"&gt;3.7376523&lt;/D&gt;&lt;D xsi:type="xsd:double"&gt;-15.975529&lt;/D&gt;&lt;D xsi:type="xsd:double"&gt;6.0679555&lt;/D&gt;&lt;D xsi:type="xsd:double"&gt;0.46947002&lt;/D&gt;&lt;D xsi:type="xsd:double"&gt;3.5064697&lt;/D&gt;&lt;D xsi:type="xsd:double"&gt;1.8561482&lt;/D&gt;&lt;D xsi:type="xsd:double"&gt;1.7463923&lt;/D&gt;&lt;D xsi:type="xsd:double"&gt;-11.567158&lt;/D&gt;&lt;D xsi:type="xsd:double"&gt;9.282696&lt;/D&gt;&lt;D xsi:type="xsd:double"&gt;-1.8532813&lt;/D&gt;&lt;D xsi:type="xsd:double"&gt;-5.1927624&lt;/D&gt;&lt;/FQL&gt;&lt;FQL&gt;&lt;Q&gt;UAE^FMA_DIV_YLD(NTMA,-10AY,0,AM,"PORTAGG","MEANR")&lt;/Q&gt;&lt;R&gt;121&lt;/R&gt;&lt;C&gt;1&lt;/C&gt;&lt;D xsi:type="xsd:double"&gt;2.56502050028042&lt;/D&gt;&lt;D xsi:type="xsd:double"&gt;2.59064460287797&lt;/D&gt;&lt;D xsi:type="xsd:double"&gt;2.45858817032976&lt;/D&gt;&lt;D xsi:type="xsd:double"&gt;2.92186116735587&lt;/D&gt;&lt;D xsi:type="xsd:double"&gt;2.8731651470882&lt;/D&gt;&lt;D xsi:type="xsd:double"&gt;3.61545485771093&lt;/D&gt;&lt;D xsi:type="xsd:double"&gt;3.39246152583865&lt;/D&gt;&lt;D xsi:type="xsd:double"&gt;3.39936440434137&lt;/D&gt;&lt;D xsi:type="xsd:double"&gt;3.71399252783638&lt;/D&gt;&lt;D xsi:type="xsd:double"&gt;3.1271381853021&lt;/D&gt;&lt;D xsi:type="xsd:double"&gt;3.18129596279132&lt;/D&gt;&lt;D xsi:type="xsd:double"&gt;3.48247253768663&lt;/D&gt;&lt;D xsi:type="xsd:double"&gt;3.51118904742777&lt;/D&gt;&lt;D xsi:type="xsd:double"&gt;3.81949633854921&lt;/D&gt;&lt;D xsi:type="xsd:double"&gt;4.05562895941445&lt;/D&gt;&lt;D xsi:type="xsd:double"&gt;3.8322583116747&lt;/D&gt;&lt;D xsi:type="xsd:double"&gt;4.342812989671&lt;/D&gt;&lt;D xsi:type="xsd:double"&gt;4.16208142534443&lt;/D&gt;&lt;D xsi:type="xsd:double"&gt;4.80352856083811&lt;/D&gt;&lt;D xsi:type="xsd:double"&gt;4.47348835776428&lt;/D&gt;&lt;D xsi:type="xsd:double"&gt;3.94391044461094&lt;/D&gt;&lt;D xsi:type="xsd:double"&gt;3.86458953327312&lt;/D&gt;&lt;D xsi:type="xsd:double"&gt;4.27816327467412&lt;/D&gt;&lt;D xsi:type="xsd:double"&gt;4.05353905418245&lt;/D&gt;&lt;D xsi:type="xsd:double"&gt;3.81765506382648&lt;/D&gt;&lt;D xsi:type="xsd:double"&gt;3.72934817864331&lt;/D&gt;&lt;D xsi:type="xsd:double"&gt;3.68767686243387&lt;/D&gt;&lt;D xsi:type="xsd:double"&gt;3.73966102100122&lt;/D&gt;&lt;D xsi:type="xsd:double"&gt;3.98608827887741&lt;/D&gt;&lt;D xsi:type="xsd:double"&gt;4.12562214110459&lt;/D&gt;&lt;D xsi:type="xsd:double"&gt;3.98463561767834&lt;/D&gt;&lt;D xsi:type="xsd:double"&gt;4.04865474565817&lt;/D&gt;&lt;D xsi:type="xsd:double"&gt;4.18467822732636&lt;/D&gt;&lt;D xsi:type="xsd:double"&gt;3.98358728420975&lt;/D&gt;&lt;D xsi:type="xsd:double"&gt;3.97222012386373&lt;/D&gt;&lt;D xsi:type="xsd:double"&gt;4.07510972591765&lt;/D&gt;&lt;D xsi:type="xsd:double"&gt;3.91978476221376&lt;/D&gt;&lt;D xsi:type="xsd:double"&gt;4.05376768743668&lt;/D&gt;&lt;D xsi:type="xsd:double"&gt;4.09258573585228&lt;/D&gt;&lt;D xsi:type="xsd:double"&gt;4.18214821192261&lt;/D&gt;&lt;D xsi:type="xsd:double"&gt;4.45282703616931&lt;/D&gt;&lt;D xsi:type="xsd:double"&gt;4.50971517643256&lt;/D&gt;&lt;D xsi:type="xsd:double"&gt;4.18122807649567&lt;/D&gt;&lt;D xsi:type="xsd:double"&gt;4.35583310368955&lt;/D&gt;&lt;D xsi:type="xsd:double"&gt;4.50054603377124&lt;/D&gt;&lt;D xsi:type="xsd:double"&gt;4.76068831950686&lt;/D&gt;&lt;D xsi:type="xsd:double"&gt;4.96714054339463&lt;/D&gt;&lt;D xsi:type="xsd:double"&gt;4.93355926325856&lt;/D&gt;&lt;D xsi:type="xsd:double"&gt;4.74187936069452&lt;/D&gt;&lt;D xsi:type="xsd:double"&gt;4.75565763467389&lt;/D&gt;&lt;D xsi:type="xsd:double"&gt;4.83424681310645&lt;/D&gt;&lt;D xsi:type="xsd:double"&gt;4.93684965897645&lt;/D&gt;&lt;D xsi:type="xsd:double"&gt;4.83129656058188&lt;/D&gt;&lt;D xsi:type="xsd:double"&gt;5.14707451900265&lt;/D&gt;&lt;D xsi:type="xsd:double"&gt;5.20991153649931&lt;/D&gt;&lt;D xsi:type="xsd:double"&gt;5.31156176088739&lt;/D&gt;&lt;D xsi:type="xsd:double"&gt;5.18293363258958&lt;/D&gt;&lt;D xsi:type="xsd:double"&gt;4.80098049636646&lt;/D&gt;&lt;D xsi:type="xsd:double"&gt;5.38612590123989&lt;/D&gt;&lt;D xsi:type="xsd:double"&gt;5.19300167313836&lt;/D&gt;&lt;D xsi:type="xsd:double"&gt;5.01915174747121&lt;/D&gt;&lt;D xsi:type="xsd:double"&gt;5.10012294226492&lt;/D&gt;&lt;D xsi:type="xsd:double"&gt;4.75473994739106&lt;/D&gt;&lt;D xsi:type="xsd:double"&gt;4.71677864580507&lt;/D&gt;&lt;D xsi:type="xsd:double"&gt;4.79732016137797&lt;/D&gt;&lt;D xsi:type="xsd:double"&gt;5.07811155090131&lt;/D&gt;&lt;D xsi:type="xsd:double"&gt;5.09364098661708&lt;/D&gt;&lt;D xsi:type="xsd:double"&gt;5.25137472846197&lt;/D&gt;&lt;D xsi:type="xsd:double"&gt;7.33712215864853&lt;/D&gt;&lt;D xsi:type="xsd:double"&gt;5.37608495594072&lt;/D&gt;&lt;D xsi:type="xsd:double"&gt;4.63200539602033&lt;/D&gt;&lt;D xsi:type="xsd:double"&gt;4.4180458903695&lt;/D&gt;&lt;D xsi:type="xsd:double"&gt;4.66360091459572&lt;/D&gt;&lt;D xsi:type="xsd:double"&gt;4.49622048988675&lt;/D&gt;&lt;D xsi:type="xsd:double"&gt;4.25649675122634&lt;/D&gt;&lt;D xsi:type="xsd:double"&gt;4.21838273903065&lt;/D&gt;&lt;D xsi:type="xsd:double"&gt;4.5026246473367&lt;/D&gt;&lt;D xsi:type="xsd:double"&gt;4.38171432668918&lt;/D&gt;&lt;D xsi:type="xsd:double"&gt;4.07765933258473&lt;/D&gt;&lt;D xsi:type="xsd:double"&gt;4.38555032023469&lt;/D&gt;&lt;D xsi:type="xsd:double"&gt;4.45912220413163&lt;/D&gt;&lt;D xsi:type="xsd:double"&gt;4.42429781352996&lt;/D&gt;&lt;D xsi:type="xsd:double"&gt;4.34848277694096&lt;/D&gt;&lt;D xsi:type="xsd:double"&gt;4.38223385123711&lt;/D&gt;&lt;D xsi:type="xsd:double"&gt;4.71877529468075&lt;/D&gt;&lt;D xsi:type="xsd:double"&gt;4.52838963373195&lt;/D&gt;&lt;D xsi:type="xsd:double"&gt;4.16967768435079&lt;/D&gt;&lt;D xsi:type="xsd:double"&gt;4.08105313696178&lt;/D&gt;&lt;D xsi:type="xsd:double"&gt;3.67660805352617&lt;/D&gt;&lt;D xsi:type="xsd:double"&gt;4.11106584594857&lt;/D&gt;&lt;D xsi:type="xsd:double"&gt;4.29835718797867&lt;/D&gt;&lt;D xsi:type="xsd:double"&gt;3.93592279889169&lt;/D&gt;&lt;D xsi:type="xsd:double"&gt;3.69681295647951&lt;/D&gt;&lt;D xsi:type="xsd:double"&gt;3.4759739834431&lt;/D&gt;&lt;D xsi:type="xsd:double"&gt;3.94294952997998&lt;/D&gt;&lt;D xsi:type="xsd:double"&gt;4.32336529004253&lt;/D&gt;&lt;D xsi:type="xsd:double"&gt;4.32871135824389&lt;/D&gt;&lt;D xsi:type="xsd:double"&gt;4.0433487407119&lt;/D&gt;&lt;D xsi:type="xsd:double"&gt;4.13935193383902&lt;/D&gt;&lt;D xsi:type="xsd:double"&gt;4.41117154087662&lt;/D&gt;&lt;D xsi:type="xsd:double"&gt;4.37181240217652&lt;/D&gt;&lt;D xsi:type="xsd:double"&gt;4.68336172854721&lt;/D&gt;&lt;D xsi:type="xsd:double"&gt;4.73297865612472&lt;/D&gt;&lt;D xsi:type="xsd:double"&gt;4.60731228584778&lt;/D&gt;&lt;D xsi:type="xsd:double"&gt;4.94929623268199&lt;/D&gt;&lt;D xsi:type="xsd:double"&gt;4.47384387884808&lt;/D&gt;&lt;D xsi:type="xsd:double"&gt;4.53877717033339&lt;/D&gt;&lt;D xsi:type="xsd:double"&gt;4.50127658253502&lt;/D&gt;&lt;D xsi:type="xsd:double"&gt;4.28358630579615&lt;/D&gt;&lt;D xsi:type="xsd:double"&gt;4.22197712473279&lt;/D&gt;&lt;D xsi:type="xsd:double"&gt;4.38194065529077&lt;/D&gt;&lt;D xsi:type="xsd:double"&gt;4.70061563744324&lt;/D&gt;&lt;D xsi:type="xsd:double"&gt;4.66227587995825&lt;/D&gt;&lt;D xsi:type="xsd:double"&gt;4.68233183710692&lt;/D&gt;&lt;D xsi:type="xsd:double"&gt;4.48730471228607&lt;/D&gt;&lt;D xsi:type="xsd:double"&gt;4.8665441583076&lt;/D&gt;&lt;D xsi:type="xsd:double"&gt;5.09523616200833&lt;/D&gt;&lt;D xsi:type="xsd:double"&gt;5.59902350985834&lt;/D&gt;&lt;D xsi:type="xsd:double"&gt;5.78600049232503&lt;/D&gt;&lt;D xsi:type="xsd:double"&gt;5.93424989921676&lt;/D&gt;&lt;D xsi:type="xsd:double"&gt;5.60282939045871&lt;/D&gt;&lt;/FQL&gt;&lt;FQL&gt;&lt;Q&gt;UAE^FMA_PE(NTMA,-10AY,0,AM,"PORTAGG","MEANR")&lt;/Q&gt;&lt;R&gt;121&lt;/R&gt;&lt;C&gt;1&lt;/C&gt;&lt;D xsi:type="xsd:double"&gt;14.9309503090862&lt;/D&gt;&lt;D xsi:type="xsd:double"&gt;14.9286210488233&lt;/D&gt;&lt;D xsi:type="xsd:double"&gt;15.4300533235027&lt;/D&gt;&lt;D xsi:type="xsd:double"&gt;13.168143197639&lt;/D&gt;&lt;D xsi:type="xsd:double"&gt;14.1296316144483&lt;/D&gt;&lt;D xsi:type="xsd:double"&gt;11.4743961472821&lt;/D&gt;&lt;D xsi:type="xsd:double"&gt;11.8648387486469&lt;/D&gt;&lt;D xsi:type="xsd:double"&gt;12.8215067181469&lt;/D&gt;&lt;D xsi:type="xsd:double"&gt;11.6915751283034&lt;/D&gt;&lt;D xsi:type="xsd:double"&gt;13.7690440242599&lt;/D&gt;&lt;D xsi:type="xsd:double"&gt;14.0792565783027&lt;/D&gt;&lt;D xsi:type="xsd:double"&gt;12.9327964147855&lt;/D&gt;&lt;D xsi:type="xsd:double"&gt;12.986024869343&lt;/D&gt;&lt;D xsi:type="xsd:double"&gt;11.6517826857695&lt;/D&gt;&lt;D xsi:type="xsd:double"&gt;11.9587812688973&lt;/D&gt;&lt;D xsi:type="xsd:double"&gt;12.2626012632125&lt;/D&gt;&lt;D xsi:type="xsd:double"&gt;10.8723853074326&lt;/D&gt;&lt;D xsi:type="xsd:double"&gt;10.6569439235031&lt;/D&gt;&lt;D xsi:type="xsd:double"&gt;10.2940432089229&lt;/D&gt;&lt;D xsi:type="xsd:double"&gt;10.9932028102968&lt;/D&gt;&lt;D xsi:type="xsd:double"&gt;12.5149723748218&lt;/D&gt;&lt;D xsi:type="xsd:double"&gt;13.3181008789869&lt;/D&gt;&lt;D xsi:type="xsd:double"&gt;12.3821126341363&lt;/D&gt;&lt;D xsi:type="xsd:double"&gt;12.2049712234254&lt;/D&gt;&lt;D xsi:type="xsd:double"&gt;12.9860445797416&lt;/D&gt;&lt;D xsi:type="xsd:double"&gt;12.6341475067358&lt;/D&gt;&lt;D xsi:type="xsd:double"&gt;12.1644970917849&lt;/D&gt;&lt;D xsi:type="xsd:double"&gt;12.1277918239168&lt;/D&gt;&lt;D xsi:</t>
        </r>
      </text>
    </comment>
    <comment ref="A12" authorId="0" shapeId="0" xr:uid="{6059EE1B-517D-4E21-8959-0889E09B0AFC}">
      <text>
        <r>
          <rPr>
            <b/>
            <sz val="9"/>
            <color indexed="81"/>
            <rFont val="Tahoma"/>
            <charset val="1"/>
          </rPr>
          <t>type="xsd:double"&gt;11.4954053625686&lt;/D&gt;&lt;D xsi:type="xsd:double"&gt;11.6535082646776&lt;/D&gt;&lt;D xsi:type="xsd:double"&gt;12.1955756763299&lt;/D&gt;&lt;D xsi:type="xsd:double"&gt;12.41047611544&lt;/D&gt;&lt;D xsi:type="xsd:double"&gt;11.9461344128287&lt;/D&gt;&lt;D xsi:type="xsd:double"&gt;12.1040180344074&lt;/D&gt;&lt;D xsi:type="xsd:double"&gt;11.6460512238754&lt;/D&gt;&lt;D xsi:type="xsd:double"&gt;11.3260737940733&lt;/D&gt;&lt;D xsi:type="xsd:double"&gt;11.700201419774&lt;/D&gt;&lt;D xsi:type="xsd:double"&gt;11.6590966084659&lt;/D&gt;&lt;D xsi:type="xsd:double"&gt;11.2260135649796&lt;/D&gt;&lt;D xsi:type="xsd:double"&gt;11.4935733179164&lt;/D&gt;&lt;D xsi:type="xsd:double"&gt;10.7581234967223&lt;/D&gt;&lt;D xsi:type="xsd:double"&gt;10.8132909225479&lt;/D&gt;&lt;D xsi:type="xsd:double"&gt;11.559445554629&lt;/D&gt;&lt;D xsi:type="xsd:double"&gt;11.2272114129561&lt;/D&gt;&lt;D xsi:type="xsd:double"&gt;10.9566443671515&lt;/D&gt;&lt;D xsi:type="xsd:double"&gt;11.3298194951398&lt;/D&gt;&lt;D xsi:type="xsd:double"&gt;10.5543339892876&lt;/D&gt;&lt;D xsi:type="xsd:double"&gt;10.7373222523624&lt;/D&gt;&lt;D xsi:type="xsd:double"&gt;11.2805041884368&lt;/D&gt;&lt;D xsi:type="xsd:double"&gt;11.1049123000374&lt;/D&gt;&lt;D xsi:type="xsd:double"&gt;11.8802518356135&lt;/D&gt;&lt;D xsi:type="xsd:double"&gt;11.5203169373504&lt;/D&gt;&lt;D xsi:type="xsd:double"&gt;11.9335218522775&lt;/D&gt;&lt;D xsi:type="xsd:double"&gt;11.1690134664616&lt;/D&gt;&lt;D xsi:type="xsd:double"&gt;10.8262752635315&lt;/D&gt;&lt;D xsi:type="xsd:double"&gt;10.8979325981286&lt;/D&gt;&lt;D xsi:type="xsd:double"&gt;11.9355546326715&lt;/D&gt;&lt;D xsi:type="xsd:double"&gt;12.2003979170539&lt;/D&gt;&lt;D xsi:type="xsd:double"&gt;10.7873777287318&lt;/D&gt;&lt;D xsi:type="xsd:double"&gt;11.7384050953921&lt;/D&gt;&lt;D xsi:type="xsd:double"&gt;12.004166778937&lt;/D&gt;&lt;D xsi:type="xsd:double"&gt;12.1180928941487&lt;/D&gt;&lt;D xsi:type="xsd:double"&gt;13.0450012402695&lt;/D&gt;&lt;D xsi:type="xsd:double"&gt;13.2143654754315&lt;/D&gt;&lt;D xsi:type="xsd:double"&gt;13.0222317259012&lt;/D&gt;&lt;D xsi:type="xsd:double"&gt;13.7403787243403&lt;/D&gt;&lt;D xsi:type="xsd:double"&gt;13.8579964150705&lt;/D&gt;&lt;D xsi:type="xsd:double"&gt;12.7797791275333&lt;/D&gt;&lt;D xsi:type="xsd:double"&gt;9.2806319631784&lt;/D&gt;&lt;D xsi:type="xsd:double"&gt;14.1370324990186&lt;/D&gt;&lt;D xsi:type="xsd:double"&gt;15.6873075384351&lt;/D&gt;&lt;D xsi:type="xsd:double"&gt;17.546694008515&lt;/D&gt;&lt;D xsi:type="xsd:double"&gt;16.3948577082404&lt;/D&gt;&lt;D xsi:type="xsd:double"&gt;13.9029849602911&lt;/D&gt;&lt;D xsi:type="xsd:double"&gt;13.9507570627585&lt;/D&gt;&lt;D xsi:type="xsd:double"&gt;12.6786489002792&lt;/D&gt;&lt;D xsi:type="xsd:double"&gt;15.7981952929556&lt;/D&gt;&lt;D xsi:type="xsd:double"&gt;15.4945525684101&lt;/D&gt;&lt;D xsi:type="xsd:double"&gt;16.6012210784704&lt;/D&gt;&lt;D xsi:type="xsd:double"&gt;15.1986799280946&lt;/D&gt;&lt;D xsi:type="xsd:double"&gt;15.3441052514345&lt;/D&gt;&lt;D xsi:type="xsd:double"&gt;14.106749876774&lt;/D&gt;&lt;D xsi:type="xsd:double"&gt;14.284419899438&lt;/D&gt;&lt;D xsi:type="xsd:double"&gt;15.0821755911577&lt;/D&gt;&lt;D xsi:type="xsd:double"&gt;14.1932972460498&lt;/D&gt;&lt;D xsi:type="xsd:double"&gt;14.4321119126127&lt;/D&gt;&lt;D xsi:type="xsd:double"&gt;14.7478241673355&lt;/D&gt;&lt;D xsi:type="xsd:double"&gt;14.5964932726478&lt;/D&gt;&lt;D xsi:type="xsd:double"&gt;15.6373402986279&lt;/D&gt;&lt;D xsi:type="xsd:double"&gt;16.5057929388014&lt;/D&gt;&lt;D xsi:type="xsd:double"&gt;15.8711428626334&lt;/D&gt;&lt;D xsi:type="xsd:double"&gt;15.7388866747987&lt;/D&gt;&lt;D xsi:type="xsd:double"&gt;15.9891842808982&lt;/D&gt;&lt;D xsi:type="xsd:double"&gt;16.4333225776067&lt;/D&gt;&lt;D xsi:type="xsd:double"&gt;14.6229841412281&lt;/D&gt;&lt;D xsi:type="xsd:double"&gt;13.4235947945567&lt;/D&gt;&lt;D xsi:type="xsd:double"&gt;12.8839290388674&lt;/D&gt;&lt;D xsi:type="xsd:double"&gt;13.4775161793392&lt;/D&gt;&lt;D xsi:type="xsd:double"&gt;13.1940567223928&lt;/D&gt;&lt;D xsi:type="xsd:double"&gt;12.439227542426&lt;/D&gt;&lt;D xsi:type="xsd:double"&gt;12.3806320164271&lt;/D&gt;&lt;D xsi:type="xsd:double"&gt;12.2130548999748&lt;/D&gt;&lt;D xsi:type="xsd:double"&gt;12.1187292820895&lt;/D&gt;&lt;D xsi:type="xsd:double"&gt;12.0893469549965&lt;/D&gt;&lt;D xsi:type="xsd:double"&gt;10.8822992508198&lt;/D&gt;&lt;D xsi:type="xsd:double"&gt;11.2219814363625&lt;/D&gt;&lt;D xsi:type="xsd:double"&gt;10.9607743010309&lt;/D&gt;&lt;D xsi:type="xsd:double"&gt;11.1444174885227&lt;/D&gt;&lt;D xsi:type="xsd:double"&gt;11.3708383244819&lt;/D&gt;&lt;D xsi:type="xsd:double"&gt;11.3021917978973&lt;/D&gt;&lt;D xsi:type="xsd:double"&gt;10.9932128320819&lt;/D&gt;&lt;D xsi:type="xsd:double"&gt;10.0492419143664&lt;/D&gt;&lt;D xsi:type="xsd:double"&gt;10.3870938685754&lt;/D&gt;&lt;D xsi:type="xsd:double"&gt;10.2975339170722&lt;/D&gt;&lt;D xsi:type="xsd:double"&gt;10.6454796173005&lt;/D&gt;&lt;D xsi:type="xsd:double"&gt;10.2362119898842&lt;/D&gt;&lt;D xsi:type="xsd:double"&gt;9.71410647091652&lt;/D&gt;&lt;D xsi:type="xsd:double"&gt;9.22405782086431&lt;/D&gt;&lt;D xsi:type="xsd:double"&gt;8.61078286656785&lt;/D&gt;&lt;D xsi:type="xsd:double"&gt;8.3940237763622&lt;/D&gt;&lt;D xsi:type="xsd:double"&gt;8.81354780959394&lt;/D&gt;&lt;/FQL&gt;&lt;FQL&gt;&lt;Q&gt;VNM^FMA_PE(LTMA,-10AY,0,AM,"PORTAGG","MEANR")&lt;/Q&gt;&lt;R&gt;121&lt;/R&gt;&lt;C&gt;1&lt;/C&gt;&lt;D xsi:type="xsd:double"&gt;12.7350877746414&lt;/D&gt;&lt;D xsi:type="xsd:double"&gt;12.9636367615865&lt;/D&gt;&lt;D xsi:type="xsd:double"&gt;12.9922012910913&lt;/D&gt;&lt;D xsi:type="xsd:double"&gt;12.9568607792292&lt;/D&gt;&lt;D xsi:type="xsd:double"&gt;12.7733464082575&lt;/D&gt;&lt;D xsi:type="xsd:double"&gt;12.250981185091&lt;/D&gt;&lt;D xsi:type="xsd:double"&gt;12.4509108781616&lt;/D&gt;&lt;D xsi:type="xsd:double"&gt;12.9716865003012&lt;/D&gt;&lt;D xsi:type="xsd:double"&gt;16.6848669109089&lt;/D&gt;&lt;D xsi:type="xsd:double"&gt;16.7860826239706&lt;/D&gt;&lt;D xsi:type="xsd:double"&gt;16.3670458227767&lt;/D&gt;&lt;D xsi:type="xsd:double"&gt;16.6980465223921&lt;/D&gt;&lt;D xsi:type="xsd:double"&gt;17.2759789066297&lt;/D&gt;&lt;D xsi:type="xsd:double"&gt;17.1773527948661&lt;/D&gt;&lt;D xsi:type="xsd:double"&gt;17.9027083089176&lt;/D&gt;&lt;D xsi:type="xsd:double"&gt;23.6511168576726&lt;/D&gt;&lt;D xsi:type="xsd:double"&gt;25.0195628891919&lt;/D&gt;&lt;D xsi:type="xsd:double"&gt;23.044348975655&lt;/D&gt;&lt;D xsi:type="xsd:double"&gt;26.2672465384538&lt;/D&gt;&lt;D xsi:type="xsd:double"&gt;18.8252288517047&lt;/D&gt;&lt;D xsi:type="xsd:double"&gt;-4.73022152359068&lt;/D&gt;&lt;D xsi:type="xsd:double"&gt;-3.15167521303956&lt;/D&gt;&lt;D xsi:type="xsd:double"&gt;-1.11356570726612&lt;/D&gt;&lt;D xsi:type="xsd:double"&gt;0.665644793529822&lt;/D&gt;&lt;D xsi:type="xsd:double"&gt;2.59668803634926&lt;/D&gt;&lt;D xsi:type="xsd:double"&gt;4.17569788571438&lt;/D&gt;&lt;D xsi:type="xsd:double"&gt;6.93508152815459&lt;/D&gt;&lt;D xsi:type="xsd:double"&gt;10.7152682220759&lt;/D&gt;&lt;D xsi:type="xsd:double"&gt;11.7228774967868&lt;/D&gt;&lt;D xsi:type="xsd:double"&gt;13.8965805541651&lt;/D&gt;&lt;D xsi:type="xsd:double"&gt;14.524360879539&lt;/D&gt;&lt;D xsi:type="xsd:double"&gt;15.8951802837904&lt;/D&gt;&lt;D xsi:type="xsd:double"&gt;15.5018920603268&lt;/D&gt;&lt;D xsi:type="xsd:double"&gt;15.6254562096972&lt;/D&gt;&lt;D xsi:type="xsd:double"&gt;15.7954297658205&lt;/D&gt;&lt;D xsi:type="xsd:double"&gt;16.3842774831642&lt;/D&gt;&lt;D xsi:type="xsd:double"&gt;16.1883885680222&lt;/D&gt;&lt;D xsi:type="xsd:double"&gt;17.0664173341496&lt;/D&gt;&lt;D xsi:type="xsd:double"&gt;17.9770272017884&lt;/D&gt;&lt;D xsi:type="xsd:double"&gt;18.2042780596369&lt;/D&gt;&lt;D xsi:type="xsd:double"&gt;19.4560485552195&lt;/D&gt;&lt;D xsi:type="xsd:double"&gt;22.2838718951323&lt;/D&gt;&lt;D xsi:type="xsd:double"&gt;25.0454631688645&lt;/D&gt;&lt;D xsi:type="xsd:double"&gt;23.8292179790327&lt;/D&gt;&lt;D xsi:type="xsd:double"&gt;24.6405574859223&lt;/D&gt;&lt;D xsi:type="xsd:double"&gt;24.2646525331168&lt;/D&gt;&lt;D xsi:type="xsd:double"&gt;24.1464660038178&lt;/D&gt;&lt;D xsi:type="xsd:double"&gt;22.4960548090312&lt;/D&gt;&lt;D xsi:type="xsd:double"&gt;21.8622339002954&lt;/D&gt;&lt;D xsi:type="xsd:double"&gt;21.9929184273946&lt;/D&gt;&lt;D xsi:type="xsd:double"&gt;22.0824259003685&lt;/D&gt;&lt;D xsi:type="xsd:double"&gt;20.1822157670742&lt;/D&gt;&lt;D xsi:type="xsd:double"&gt;19.2699449400302&lt;/D&gt;&lt;D xsi:type="xsd:double"&gt;18.7799108695719&lt;/D&gt;&lt;D xsi:type="xsd:double"&gt;18.3355828390877&lt;/D&gt;&lt;D xsi:type="xsd:double"&gt;19.0128236070991&lt;/D&gt;&lt;D xsi:type="xsd:double"&gt;19.7357151557873&lt;/D&gt;&lt;D xsi:type="xsd:double"&gt;19.659848877502&lt;/D&gt;&lt;D xsi:type="xsd:double"&gt;19.5225609916688&lt;/D&gt;&lt;D xsi:type="xsd:double"&gt;19.1739008766586&lt;/D&gt;&lt;D xsi:type="xsd:double"&gt;18.7787972998325&lt;/D&gt;&lt;D xsi:type="xsd:double"&gt;17.6210496512058&lt;/D&gt;&lt;D xsi:type="xsd:double"&gt;17.6487900764943&lt;/D&gt;&lt;D xsi:type="xsd:double"&gt;17.2611402991259&lt;/D&gt;&lt;D xsi:type="xsd:double"&gt;17.877852791816&lt;/D&gt;&lt;D xsi:type="xsd:double"&gt;17.15074417094&lt;/D&gt;&lt;D xsi:type="xsd:double"&gt;16.2860642630145&lt;/D&gt;&lt;D xsi:type="xsd:double"&gt;15.3188570921677&lt;/D&gt;&lt;D xsi:type="xsd:double"&gt;14.602411985469&lt;/D&gt;&lt;D xsi:type="xsd:double"&gt;15.1866110581733&lt;/D&gt;&lt;D xsi:type="xsd:double"&gt;15.5341429568572&lt;/D&gt;&lt;D xsi:type="xsd:double"&gt;16.2505222600948&lt;/D&gt;&lt;D xsi:type="xsd:double"&gt;16.5584325836918&lt;/D&gt;&lt;D xsi:type="xsd:double"&gt;16.7565867196643&lt;/D&gt;&lt;D xsi:type="xsd:double"&gt;18.1113702593439&lt;/D&gt;&lt;D xsi:type="xsd:double"&gt;18.8188336536976&lt;/D&gt;&lt;D xsi:type="xsd:double"&gt;19.0608608502317&lt;/D&gt;&lt;D xsi:type="xsd:double"&gt;21.5510407803607&lt;/D&gt;&lt;D xsi:type="xsd:double"&gt;23.5514318664089&lt;/D&gt;&lt;D xsi:type="xsd:double"&gt;24.6280025917275&lt;/D&gt;&lt;D xsi:type="xsd:double"&gt;24.0658911450615&lt;/D&gt;&lt;D xsi:type="xsd:double"&gt;23.562705346902&lt;/D&gt;&lt;D xsi:type="xsd:double"&gt;22.702930851576&lt;/D&gt;&lt;D xsi:type="xsd:double"&gt;23.0641767210556&lt;/D&gt;&lt;D xsi:type="xsd:double"&gt;21.3867925962974&lt;/D&gt;&lt;D xsi:type="xsd:double"&gt;21.0346392724448&lt;/D&gt;&lt;D xsi:type="xsd:double"&gt;20.3968140356047&lt;/D&gt;&lt;D xsi:type="xsd:double"&gt;20.1372903998455&lt;/D&gt;&lt;D xsi:type="xsd:double"&gt;19.5330533575147&lt;/D&gt;&lt;D xsi:type="xsd:double"&gt;19.3763036533604&lt;/D&gt;&lt;D xsi:type="xsd:double"&gt;17.2156680828657&lt;/D&gt;&lt;D xsi:type="xsd:double"&gt;17.0975493659174&lt;/D&gt;&lt;D xsi:type="xsd:double"&gt;16.3259584345033&lt;/D&gt;&lt;D xsi:type="xsd:double"&gt;15.9550829251895&lt;/D&gt;&lt;D xsi:type="xsd:double"&gt;15.277372454247&lt;/D&gt;&lt;D xsi:type="xsd:double"&gt;14.7888310849411&lt;/D&gt;&lt;D xsi:type="xsd:double"&gt;13.9230206686868&lt;/D&gt;&lt;D xsi:type="xsd:double"&gt;14.1302368072769&lt;/D&gt;&lt;D xsi:type="xsd:double"&gt;13.7518418058776&lt;/D&gt;&lt;D xsi:type="xsd:double"&gt;12.5189595400137&lt;/D&gt;&lt;D xsi:type="xsd:double"&gt;11.5863883546453&lt;/D&gt;&lt;D xsi:type="xsd:double"&gt;12.0571477039248&lt;/D&gt;&lt;D xsi:type="xsd:double"&gt;12.4448300014783&lt;/D&gt;&lt;D xsi:type="xsd:double"&gt;12.8346897929567&lt;/D&gt;&lt;D xsi:type="xsd:double"&gt;12.4085350615802&lt;/D&gt;&lt;D xsi:type="xsd:double"&gt;12.8749401287942&lt;/D&gt;&lt;D xsi:type="xsd:double"&gt;13.3346285589063&lt;/D&gt;&lt;D xsi:type="xsd:double"&gt;13.6092152909588&lt;/D&gt;&lt;D xsi:type="xsd:double"&gt;13.5969423276043&lt;/D&gt;&lt;D xsi:type="xsd:double"&gt;14.3202511466925&lt;/D&gt;&lt;D xsi:type="xsd:double"&gt;15.3683537026402&lt;/D&gt;&lt;D xsi:type="xsd:double"&gt;15.3315638217957&lt;/D&gt;&lt;D xsi:type="xsd:double"&gt;15.4223926206098&lt;/D&gt;&lt;D xsi:type="xsd:double"&gt;16.127900519801&lt;/D&gt;&lt;D xsi:type="xsd:double"&gt;16.9093909033876&lt;/D&gt;&lt;D xsi:type="xsd:double"&gt;17.005932390635&lt;/D&gt;&lt;D xsi:type="xsd:double"&gt;18.6315547934173&lt;/D&gt;&lt;D xsi:type="xsd:double"&gt;17.9984661412866&lt;/D&gt;&lt;D xsi:type="xsd:double"&gt;18.2825984846225&lt;/D&gt;&lt;D xsi:type="xsd:double"&gt;17.8771118259037&lt;/D&gt;&lt;D xsi:type="xsd:double"&gt;16.9046398822009&lt;/D&gt;&lt;/FQL&gt;&lt;FQL&gt;&lt;Q&gt;DDR3512M-FDS^MAX(FG_PRICE(0,-5AY))&lt;/Q&gt;&lt;R&gt;1&lt;/R&gt;&lt;C&gt;1&lt;/C&gt;&lt;D xsi:type="xsd:double"&gt;3.3053632&lt;/D&gt;&lt;/FQL&gt;&lt;FQL&gt;&lt;Q&gt;BRENT-FDS^FG_PRICE_CHANGE(0,-6AM)&lt;/Q&gt;&lt;R&gt;1&lt;/R&gt;&lt;C&gt;1&lt;/C&gt;&lt;D xsi:type="xsd:double"&gt;0&lt;/D&gt;&lt;/FQL&gt;&lt;FQL&gt;&lt;Q&gt;TIOS-FDS^FG_PRICE_MAVG(0,,,,30)&lt;/Q&gt;&lt;R&gt;1&lt;/R&gt;&lt;C&gt;1&lt;/C&gt;&lt;D xsi:type="xsd:double"&gt;108.298&lt;/D&gt;&lt;/FQL&gt;&lt;FQL&gt;&lt;Q&gt;EIDO^FG_PRICE_MAVG(0,,,,200)&lt;/Q&gt;&lt;R&gt;1&lt;/R&gt;&lt;C&gt;1&lt;/C&gt;&lt;D xsi:type="xsd:double"&gt;21.33115&lt;/D&gt;&lt;/FQL&gt;&lt;FQL&gt;&lt;Q&gt;KSA^FMA_PCT_ABOVE_MAVG(200,0,,,,"PORTAGG")&lt;/Q&gt;&lt;R&gt;1&lt;/R&gt;&lt;C&gt;1&lt;/C&gt;&lt;D xsi:type="xsd:double"&gt;55.7377049180328&lt;/D&gt;&lt;/FQL&gt;&lt;FQL&gt;&lt;Q&gt;INDA^FG_TOTAL_RETURNC(0,-3AM)&lt;/Q&gt;&lt;R&gt;1&lt;/R&gt;&lt;C&gt;1&lt;/C&gt;&lt;D xsi:type="xsd:double"&gt;9.44866&lt;/D&gt;&lt;/FQL&gt;&lt;FQL&gt;&lt;Q&gt;EZA^FG_TOTAL_RETURNC(0,-1AM)&lt;/Q&gt;&lt;R&gt;1&lt;/R&gt;&lt;C&gt;1&lt;/C&gt;&lt;D xsi:type="xsd:double"&gt;-1.9487917&lt;/D&gt;&lt;/FQL&gt;&lt;FQL&gt;&lt;Q&gt;EWY^FMA_PCT_ABOVE_MAVG(200,0,,,,"PORTAGG")&lt;/Q&gt;&lt;R&gt;1&lt;/R&gt;&lt;C&gt;1&lt;/C&gt;&lt;D xsi:type="xsd:double"&gt;57.5757575757576&lt;/D&gt;&lt;/FQL&gt;&lt;FQL&gt;&lt;Q&gt;EPOL^FG_TOTAL_RETURNC(0,-12AM)&lt;/Q&gt;&lt;R&gt;1&lt;/R&gt;&lt;C&gt;1&lt;/C&gt;&lt;D xsi:type="xsd:double"&gt;21.956121&lt;/D&gt;&lt;/FQL&gt;&lt;FQL&gt;&lt;Q&gt;REFTHREPO-FDS^PROPER_NAME(0,,,"SECURITY","NAME")&lt;/Q&gt;&lt;R&gt;1&lt;/R&gt;&lt;C&gt;1&lt;/C&gt;&lt;D xsi:type="xsd:string"&gt;Thailand Repo Rate - 1 Day&lt;/D&gt;&lt;/FQL&gt;&lt;FQL&gt;&lt;Q&gt;REFBRSELIC-FDS^FG_YIELD(NOW,,,0)&lt;/Q&gt;&lt;R&gt;1&lt;/R&gt;&lt;C&gt;1&lt;/C&gt;&lt;D xsi:type="xsd:double"&gt;10.5&lt;/D&gt;&lt;/FQL&gt;&lt;FQL&gt;&lt;Q&gt;REFPL7D-FDS^(SUBARRAY(NOT_NA(NO_REPEAT_F(FG_YIELD(NOW,-10AY,D))),0,1)-SUBARRAY(NOT_NA(NO_REPEAT_F(FG_YIELD(NOW,-10AY,D))),1,1))*100&lt;/Q&gt;&lt;R&gt;1&lt;/R&gt;&lt;C&gt;1&lt;/C&gt;&lt;D xsi:type="xsd:double"&gt;-25&lt;/D&gt;&lt;/FQL&gt;&lt;FQL&gt;&lt;Q&gt;TRYZA10Y-FDS^PCTCHG(FG_YIELD(0,,,,"YTM"),FG_YIELD(-1AM,,,,"YTM"))&lt;/Q&gt;&lt;R&gt;1&lt;/R&gt;&lt;C&gt;1&lt;/C&gt;&lt;D xsi:type="xsd:double"&gt;-2.925536&lt;/D&gt;&lt;/FQL&gt;&lt;FQL&gt;&lt;Q&gt;CC_VN^IMF_IFS_RCPI_Q(0)&lt;/Q&gt;&lt;R&gt;1&lt;/R&gt;&lt;C&gt;1&lt;/C&gt;&lt;D xsi:type="xsd:double"&gt;4.3949327&lt;/D&gt;&lt;/FQL&gt;&lt;FQL&gt;&lt;Q&gt;CC_ID^IMF_IFS_RCPI_Q(0)&lt;/Q&gt;&lt;R&gt;0&lt;/R&gt;&lt;C&gt;0&lt;/C&gt;&lt;/FQL&gt;&lt;FQL&gt;&lt;Q&gt;UAE^FMA_DIV_YLD(NTMA,NOW,NOW,M,"PORTAGG","MEANR")&lt;/Q&gt;&lt;R&gt;1&lt;/R&gt;&lt;C&gt;1&lt;/C&gt;&lt;D xsi:type="xsd:double"&gt;5.71773294532797&lt;/D&gt;&lt;/FQL&gt;&lt;FQL&gt;&lt;Q&gt;EWW^FG_FCF_YIELD_NTM(0)&lt;/Q&gt;&lt;R&gt;1&lt;/R&gt;&lt;C&gt;1&lt;/C&gt;&lt;D xsi:type="xsd:double"&gt;8.97357756518823&lt;/D&gt;&lt;/FQL&gt;&lt;FQL&gt;&lt;Q&gt;QAT^FG_TOTAL_RETURNC(0,-6AM)&lt;/Q&gt;&lt;R&gt;1&lt;/R&gt;&lt;C&gt;1&lt;/C&gt;&lt;D xsi:type="xsd:double"&gt;0.9473443&lt;/D&gt;&lt;/FQL&gt;&lt;FQL&gt;&lt;Q&gt;USDTWD^FG_PRICE_CHANGE(0,-6AM)&lt;/Q&gt;&lt;R&gt;1&lt;/R&gt;&lt;C&gt;1&lt;/C&gt;&lt;D xsi:type="xsd:double"&gt;4.061508&lt;/D&gt;&lt;/FQL&gt;&lt;FQL&gt;&lt;Q&gt;USDPHP^STD(FG_PRICE_CHANGE(0,-3AY,M))&lt;/Q&gt;&lt;R&gt;1&lt;/R&gt;&lt;C&gt;1&lt;/C&gt;&lt;D xsi:type="xsd:double"&gt;1.75863185756063&lt;/D&gt;&lt;/FQL&gt;&lt;FQL&gt;&lt;Q&gt;VNM^P_PRICE_RETURNS_PR('52W',2,-10AY,0,AM)&lt;/Q&gt;&lt;R&gt;121&lt;/R&gt;&lt;C&gt;1&lt;/C&gt;&lt;D xsi:type="xsd:double"&gt;16.116535&lt;/D&gt;&lt;D xsi:type="xsd:double"&gt;22.397196&lt;/D&gt;&lt;D xsi:type="xsd:double"&gt;26.98121&lt;/D&gt;&lt;D xsi:type="xsd:double"&gt;12.045789&lt;/D&gt;&lt;D xsi:type="xsd:double"&gt;9.977758&lt;/D&gt;&lt;D xsi:type="xsd:double"&gt;1.3891578&lt;/D&gt;&lt;D xsi:type="xsd:double"&gt;-6.60277&lt;/D&gt;&lt;D xsi:type="xsd:double"&gt;-10.791576&lt;/D&gt;&lt;D xsi:type="xsd:double"&gt;-18.346745&lt;/D&gt;&lt;D xsi:type="xsd:double"&gt;-9.554201&lt;/D&gt;&lt;D xsi:type="xsd:double"&gt;-13.284338&lt;/D&gt;&lt;D xsi:type="xsd:double"&gt;-10.855049&lt;/D&gt;&lt;D xsi:type="xsd:double"&gt;-8.336568&lt;/D&gt;&lt;D xsi:type="xsd:double"&gt;-22.40625&lt;/D&gt;&lt;D xsi:type="xsd:double"&gt;-28.74863&lt;/D&gt;&lt;D xsi:type="xsd:double"&gt;-14.443291&lt;/D&gt;&lt;D xsi:type="xsd:double"&gt;-19.301235&lt;/D&gt;&lt;D xsi:type="xsd:double"&gt;-20.645958&lt;/D&gt;&lt;D xsi:type="xsd:double"&gt;-28.276402&lt;/D&gt;&lt;D xsi:type="xsd:double"&gt;-26.067226&lt;/D&gt;&lt;D xsi:type="xsd:double"&gt;-18.18375&lt;/D&gt;&lt;D xsi:type="xsd:double"&gt;-20.116144&lt;/D&gt;&lt;D xsi:type="xsd:double"&gt;-9.9648&lt;/D&gt;&lt;D xsi:type="xsd:double"&gt;-17.25821&lt;/D&gt;&lt;D xsi:type="xsd:double"&gt;-16.98063&lt;/D&gt;&lt;D xsi:type="xsd:double"&gt;-3.944683&lt;/D&gt;&lt;D xsi:type="xsd:double"&gt;-3.9464116&lt;/D&gt;&lt;D xsi:type="xsd:double"&gt;-10.836458&lt;/D&gt;&lt;D xsi:type="xsd:double"&gt;-13.571632&lt;/D&gt;&lt;D xsi:type="xsd:double"&gt;-6.897455&lt;/D&gt;&lt;D xsi:type="xsd:double"&gt;3.878665&lt;/D&gt;&lt;D xsi:type="xsd:double"&gt;2.8331041&lt;/D&gt;&lt;D xsi:type="xsd:double"&gt;-1.497066&lt;/D&gt;&lt;D xsi:type="xsd:double"&gt;1.5131235&lt;/D&gt;&lt;D xsi:type="xsd:double"&gt;-0.30414462&lt;/D&gt;&lt;D xsi:type="xsd:double"&gt;6.0184836&lt;/D&gt;&lt;D xsi:type="xsd:double"&gt;-2.0818055&lt;/D&gt;&lt;D xsi:type="xsd:double"&gt;-5.2182016&lt;/D&gt;&lt;D xsi:type="xsd:double"&gt;6.3551188&lt;/D&gt;&lt;D xsi:type="xsd:double"&gt;6.449032&lt;/D&gt;&lt;D xsi:type="xsd:double"&gt;23.917591&lt;/D&gt;&lt;D xsi:type="xsd:double"&gt;31.380249&lt;/D&gt;&lt;D xsi:type="xsd:double"&gt;44.875313&lt;/D&gt;&lt;D xsi:type="xsd:double"&gt;37.39288&lt;/D&gt;&lt;D xsi:type="xsd:double"&gt;41.522873&lt;/D&gt;&lt;D xsi:type="xsd:double"&gt;34.50916&lt;/D&gt;&lt;D xsi:type="xsd:double"&gt;27.820814&lt;/D&gt;&lt;D xsi:type="xsd:double"&gt;8.906913&lt;/D&gt;&lt;D xsi:type="xsd:double"&gt;9.943092&lt;/D&gt;&lt;D xsi:type="xsd:double"&gt;17.444874&lt;/D&gt;&lt;D xsi:type="xsd:double"&gt;13.012362&lt;/D&gt;&lt;D xsi:type="xsd:double"&gt;1.697886&lt;/D&gt;&lt;D xsi:type="xsd:double"&gt;-9.571767&lt;/D&gt;&lt;D xsi:type="xsd:double"&gt;-11.055165&lt;/D&gt;&lt;D xsi:type="xsd:double"&gt;-16.731209&lt;/D&gt;&lt;D xsi:type="xsd:double"&gt;-11.2925415&lt;/D&gt;&lt;D xsi:type="xsd:double"&gt;-10.181105&lt;/D&gt;&lt;D xsi:type="xsd:double"&gt;-12.82469&lt;/D&gt;&lt;D xsi:type="xsd:double"&gt;-5.0258455&lt;/D&gt;&lt;D xsi:type="xsd:double"&gt;2.3217082&lt;/D&gt;&lt;D xsi:type="xsd:double"&gt;3.535688&lt;/D&gt;&lt;D xsi:type="xsd:double"&gt;-3.9173722&lt;/D&gt;&lt;D xsi:type="xsd:double"&gt;-3.5620391&lt;/D&gt;&lt;D xsi:type="xsd:double"&gt;4.978776&lt;/D&gt;&lt;D xsi:type="xsd:double"&gt;9.962821&lt;/D&gt;&lt;D xsi:type="xsd:double"&gt;6.555748&lt;/D&gt;&lt;D xsi:type="xsd:double"&gt;5.0869107&lt;/D&gt;&lt;D xsi:type="xsd:double"&gt;-8.989822&lt;/D&gt;&lt;D xsi:type="xsd:double"&gt;-37.840565&lt;/D&gt;&lt;D xsi:type="xsd:double"&gt;-26.5688&lt;/D&gt;&lt;D xsi:type="xsd:double"&gt;-19.976664&lt;/D&gt;&lt;D xsi:type="xsd:double"&gt;-15.019578&lt;/D&gt;&lt;D xsi:type="xsd:double"&gt;-10.471755&lt;/D&gt;&lt;D xsi:type="xsd:double"&gt;-8.131182&lt;/D&gt;&lt;D xsi:type="xsd:double"&gt;-6.6658792&lt;/D&gt;&lt;D xsi:type="xsd:double"&gt;-6.9135785&lt;/D&gt;&lt;D xsi:type="xsd:double"&gt;-3.363645&lt;/D&gt;&lt;D xsi:type="xsd:double"&gt;7.1190357&lt;/D&gt;&lt;D xsi:type="xsd:double"&gt;11.67754&lt;/D&gt;&lt;D xsi:type="xsd:double"&gt;22.945976&lt;/D&gt;&lt;D xsi:type="xsd:double"&gt;70.602165&lt;/D&gt;&lt;D xsi:type="xsd:double"&gt;60.173653&lt;/D&gt;&lt;D xsi:type="xsd:double"&gt;45.156467&lt;/D&gt;&lt;D xsi:type="xsd:double"&gt;46.132553&lt;/D&gt;&lt;D xsi:type="xsd:double"&gt;29.709661&lt;/D&gt;&lt;D xsi:type="xsd:double"&gt;37.164642&lt;/D&gt;&lt;D xsi:type="xsd:double"&gt;33.350204&lt;/D&gt;&lt;D xsi:type="xsd:double"&gt;32.742966&lt;/D&gt;&lt;D xsi:type="xsd:double"&gt;31.53975&lt;/D&gt;&lt;D xsi:type="xsd:double"&gt;23.556805&lt;/D&gt;&lt;D xsi:type="xsd:double"&gt;11.19802&lt;/D&gt;&lt;D xsi:type="xsd:double"&gt;9.280479&lt;/D&gt;&lt;D xsi:type="xsd:double"&gt;6.369138&lt;/D&gt;&lt;D xsi:type="xsd:double"&gt;-8.963233&lt;/D&gt;&lt;D xsi:type="xsd:double"&gt;-16.82719&lt;/D&gt;&lt;D xsi:type="xsd:double"&gt;-25.751888&lt;/D&gt;&lt;D xsi:type="xsd:double"&gt;-22.089314&lt;/D&gt;&lt;D xsi:type="xsd:double"&gt;-20.229513&lt;/D&gt;&lt;D xsi:type="xsd:double"&gt;-27.208073&lt;/D&gt;&lt;D xsi:type="xsd:double"&gt;-37.690712&lt;/D&gt;&lt;D xsi:type="xsd:double"&gt;-45.1465&lt;/D&gt;&lt;D xsi:type="xsd:double"&gt;-40.674232&lt;/D&gt;&lt;D xsi:type="xsd:double"&gt;-34.121174&lt;/D&gt;&lt;D xsi:type="xsd:double"&gt;-39.4823&lt;/D&gt;&lt;D xsi:type="xsd:double"&gt;-36.953632&lt;/D&gt;&lt;D xsi:type="xsd:double"&gt;-31.794727&lt;/D&gt;&lt;D xsi:type="xsd:double"&gt;-19.960367&lt;/D&gt;&lt;D xsi:type="xsd:double"&gt;-10.991794&lt;/D&gt;&lt;D xsi:type="xsd:double"&gt;-2.953738&lt;/D&gt;&lt;D xsi:type="xsd:double"&gt;-8.483476&lt;/D&gt;&lt;D xsi:type="xsd:double"&gt;3.3275008&lt;/D&gt;&lt;D xsi:type="xsd:double"&gt;2.0956635&lt;/D&gt;&lt;D xsi:type="xsd:double"&gt;15.271211&lt;/D&gt;&lt;D xsi:type="xsd:double"&gt;8.43891&lt;/D&gt;&lt;D xsi:type="xsd:double"&gt;5.767286&lt;/D&gt;&lt;D xsi:type="xsd:double"&gt;15.720474&lt;/D&gt;&lt;D xsi:type="xsd:double"&gt;21.487272&lt;/D&gt;&lt;D xsi:type="xsd:double"&gt;4.4703126&lt;/D&gt;&lt;D xsi:type="xsd:double"&gt;10.652267&lt;/D&gt;&lt;D xsi:type="xsd:double"&gt;2.0672798&lt;/D&gt;&lt;D xsi:type="xsd:double"&gt;-8.986181&lt;/D&gt;&lt;/FQL&gt;&lt;FQL&gt;&lt;Q&gt;SET-BKK^FMA_DIV_YLD(NTMA,-10AY,0,AM,"PORTAGG","MEANR")&lt;/Q&gt;&lt;R&gt;121&lt;/R&gt;&lt;C&gt;1&lt;/C&gt;&lt;D xsi:type="xsd:double"&gt;5.5387451472003&lt;/D&gt;&lt;D xsi:type="xsd:double"&gt;3.44124922735161&lt;/D&gt;&lt;D xsi:type="xsd:double"&gt;3.34403933109158&lt;/D&gt;&lt;D xsi:type="xsd:double"&gt;3.49028728665879&lt;/D&gt;&lt;D xsi:type="xsd:double"&gt;3.34464619686399&lt;/D&gt;&lt;D xsi:type="xsd:double"&gt;3.46994072216952&lt;/D&gt;&lt;D xsi:type="xsd:double"&gt;3.35272852009372&lt;/D&gt;&lt;D xsi:type="xsd:double"&gt;3.16599333208337&lt;/D&gt;&lt;D xsi:type="xsd:double"&gt;3.38796379522021&lt;/D&gt;&lt;D xsi:type="xsd:double"&gt;3.31575780908509&lt;/D&gt;&lt;D xsi:type="xsd:double"&gt;3.3706298280475&lt;/D&gt;&lt;D xsi:type="xsd:double"&gt;3.4758704330085&lt;/D&gt;&lt;D xsi:type="xsd:double"&gt;3.47149437183762&lt;/D&gt;&lt;D xsi:type="xsd:double"&gt;3.6717991536136&lt;/D&gt;&lt;D xsi:type="xsd:double"&gt;3.61478363768203&lt;/D&gt;&lt;D xsi:type="xsd:double"&gt;3.56103835175291&lt;/D&gt;&lt;D xsi:type="xsd:double"&gt;3.65598407666672&lt;/D&gt;&lt;D xsi:type="xsd:double"&gt;3.91418723570796&lt;/D&gt;&lt;D xsi:type="xsd:double"&gt;3.81839142028144&lt;/D&gt;&lt;D xsi:type="xsd:double"&gt;3.57622306039432&lt;/D&gt;&lt;D xsi:type="xsd:double"&gt;3.40912907846106&lt;/D&gt;&lt;D xsi:type="xsd:double"&gt;3.34936246334351&lt;/D&gt;&lt;D xsi:type="xsd:double"&gt;3.44847668054894&lt;/D&gt;&lt;D xsi:type="xsd:double"&gt;3.34611483029138&lt;/D&gt;&lt;D xsi:type="xsd:double"&gt;3.20252443472164&lt;/D&gt;&lt;D xsi:type="xsd:double"&gt;3.12964578990216&lt;/D&gt;&lt;D xsi:type="xsd:double"&gt;3.27953394177276&lt;/D&gt;&lt;D xsi:type="xsd:double"&gt;3.31200812869524&lt;/D&gt;&lt;D xsi:type="xsd:double"&gt;3.3337405048907&lt;/D&gt;&lt;D xsi:type="xsd:double"&gt;3.25265236292312&lt;/D&gt;&lt;D xsi:type="xsd:double"&gt;3.19339931473404&lt;/D&gt;&lt;D xsi:type="xsd:double"&gt;3.10435202903641&lt;/D&gt;&lt;D xsi:type="xsd:double"&gt;3.15671424709883&lt;/D&gt;&lt;D xsi:type="xsd:double"&gt;3.15668771294745&lt;/D&gt;&lt;D xsi:type="xsd:double"&gt;3.20973643851632&lt;/D&gt;&lt;D xsi:type="xsd:double"&gt;3.19166583214173&lt;/D&gt;&lt;D xsi:type="xsd:double"&gt;3.25769205459363&lt;/D&gt;&lt;D xsi:type="xsd:double"&gt;3.23790576546037&lt;/D&gt;&lt;D xsi:type="xsd:double"&gt;3.00752325831717&lt;/D&gt;&lt;D xsi:type="xsd:double"&gt;3.04443715144674&lt;/D&gt;&lt;D xsi:type="xsd:double"&gt;3.01072859050351&lt;/D&gt;&lt;D xsi:type="xsd:double"&gt;3.02573090368825&lt;/D&gt;&lt;D xsi:type="xsd:double"&gt;2.8812822277624&lt;/D&gt;&lt;D xsi:type="xsd:double"&gt;2.96511281421458&lt;/D&gt;&lt;D xsi:type="xsd:double"&gt;3.01085233342291&lt;/D&gt;&lt;D xsi:type="xsd:double"&gt;3.02767187160339&lt;/D&gt;&lt;D xsi:type="xsd:double"&gt;3.10613123938633&lt;/D&gt;&lt;D xsi:type="xsd:double"&gt;3.37192050930498&lt;/D&gt;&lt;D xsi:type="xsd:double"&gt;3.36538148657266&lt;/D&gt;&lt;D xsi:type="xsd:double"&gt;3.27312770003526&lt;/D&gt;&lt;D xsi:type="xsd:double"&gt;3.20481887875758&lt;/D&gt;&lt;D xsi:type="xsd:double"&gt;3.36270421058424&lt;/D&gt;&lt;D xsi:type="xsd:double"&gt;3.43770780903622&lt;/D&gt;&lt;D xsi:type="xsd:double"&gt;3.51430378220492&lt;/D&gt;&lt;D xsi:type="xsd:double"&gt;3.48437586122467&lt;/D&gt;&lt;D xsi:type="xsd:double"&gt;3.308039122034&lt;/D&gt;&lt;D xsi:type="xsd:double"&gt;3.32376741835663&lt;/D&gt;&lt;D xsi:type="xsd:double"&gt;3.24691149274034&lt;/D&gt;&lt;D xsi:type="xsd:double"&gt;3.37641639331488&lt;/D&gt;&lt;D xsi:type="xsd:double"&gt;3.16062241383672&lt;/D&gt;&lt;D xsi:type="xsd:double"&gt;3.11025812977473&lt;/D&gt;&lt;D xsi:type="xsd:double"&gt;3.28888579039696&lt;/D&gt;&lt;D xsi:type="xsd:double"&gt;3.26089579283042&lt;/D&gt;&lt;D xsi:type="xsd:double"&gt;3.25412574291958&lt;/D&gt;&lt;D xsi:type="xsd:double"&gt;3.20119697291925&lt;/D&gt;&lt;D xsi:type="xsd:double"&gt;3.24951463311082&lt;/D&gt;&lt;D xsi:type="xsd:double"&gt;3.19754511529373&lt;/D&gt;&lt;D xsi:type="xsd:double"&gt;3.38869130276604&lt;/D&gt;&lt;D xsi:type="xsd:double"&gt;4.59231446631435&lt;/D&gt;&lt;D xsi:type="xsd:double"&gt;3.56333426689112&lt;/D&gt;&lt;D xsi:type="xsd:double"&gt;3.19073538691713&lt;/D&gt;&lt;D xsi:type="xsd:double"&gt;3.01872842567079&lt;/D&gt;&lt;D xsi:type="xsd:double"&gt;3.0228279039256&lt;/D&gt;&lt;D xsi:type="xsd:double"&gt;3.10890584446407&lt;/D&gt;&lt;D xsi:type="xsd:double"&gt;3.13230879396745&lt;/D&gt;&lt;D xsi:type="xsd:double"&gt;3.27661462885409&lt;/D&gt;&lt;D xsi:type="xsd:double"&gt;2.84835205258138&lt;/D&gt;&lt;D xsi:type="xsd:double"&gt;2.74445538366353&lt;/D&gt;&lt;D xsi:type="xsd:double"&gt;2.70465777336354&lt;/D&gt;&lt;D xsi:type="xsd:double"&gt;2.82879294582819&lt;/D&gt;&lt;D xsi:type="xsd:double"&gt;2.77011910197297&lt;/D&gt;&lt;D xsi:type="xsd:double"&gt;2.82974993122024&lt;/D&gt;&lt;D xsi:type="xsd:double"&gt;2.92371157404089&lt;/D&gt;&lt;D xsi:type="xsd:double"&gt;2.8302475889786&lt;/D&gt;&lt;D xsi:type="xsd:double"&gt;2.97947448101066&lt;/D&gt;&lt;D xsi:type="xsd:double"&gt;2.97339099439007&lt;/D&gt;&lt;D xsi:type="xsd:double"&gt;2.84895312968822&lt;/D&gt;&lt;D xsi:type="xsd:double"&gt;2.83852037254207&lt;/D&gt;&lt;D xsi:type="xsd:double"&gt;2.80347572106106&lt;/D&gt;&lt;D xsi:type="xsd:double"&gt;2.88106146836957&lt;/D&gt;&lt;D xsi:type="xsd:double"&gt;2.85982081148618&lt;/D&gt;&lt;D xsi:type="xsd:double"&gt;2.82043922855902&lt;/D&gt;&lt;D xsi:type="xsd:double"&gt;2.91301254448226&lt;/D&gt;&lt;D xsi:type="xsd:double"&gt;2.99442973302944&lt;/D&gt;&lt;D xsi:type="xsd:double"&gt;3.08323118483952&lt;/D&gt;&lt;D xsi:type="xsd:double"&gt;3.1760251711008&lt;/D&gt;&lt;D xsi:type="xsd:double"&gt;3.22987105015028&lt;/D&gt;&lt;D xsi:type="xsd:double"&gt;3.112523969591&lt;/D&gt;&lt;D xsi:type="xsd:double"&gt;3.08848314302413&lt;/D&gt;&lt;D xsi:type="xsd:double"&gt;3.1784917722832&lt;/D&gt;&lt;D xsi:type="xsd:double"&gt;3.05946407053516&lt;/D&gt;&lt;D xsi:type="xsd:double"&gt;3.04722801004662&lt;/D&gt;&lt;D xsi:type="xsd:double"&gt;2.94816546770789&lt;/D&gt;&lt;D xsi:type="xsd:double"&gt;3.01878966009978&lt;/D&gt;&lt;D xsi:type="xsd:double"&gt;3.19481628890458&lt;/D&gt;&lt;D xsi:type="xsd:double"&gt;3.1310632412172&lt;/D&gt;&lt;D xsi:type="xsd:double"&gt;3.20543403573643&lt;/D&gt;&lt;D xsi:type="xsd:double"&gt;3.09976261918914&lt;/D&gt;&lt;D xsi:type="xsd:double"&gt;3.0998758961685&lt;/D&gt;&lt;D xsi:type="xsd:double"&gt;3.13820851274863&lt;/D&gt;&lt;D xsi:type="xsd:double"&gt;3.15330729085019&lt;/D&gt;&lt;D xsi:type="xsd:double"&gt;3.3826888545345&lt;/D&gt;&lt;D xsi:type="xsd:double"&gt;3.34949444047333&lt;/D&gt;&lt;D xsi:type="xsd:double"&gt;3.40864564537134&lt;/D&gt;&lt;D xsi:type="xsd:double"&gt;3.49480824101137&lt;/D&gt;&lt;D xsi:type="xsd:double"&gt;3.45107529684509&lt;/D&gt;&lt;D xsi:type="xsd:double"&gt;3.49196308516566&lt;/D&gt;&lt;D xsi:type="xsd:double"&gt;3.65878727942381&lt;/D&gt;&lt;D xsi:type="xsd:double"&gt;3.62054456793884&lt;/D&gt;&lt;D xsi:type="xsd:double"&gt;3.85517741526619&lt;/D&gt;&lt;D xsi:type="xsd:double"&gt;3.79416737861151&lt;/D&gt;&lt;/FQL&gt;&lt;FQL&gt;&lt;Q&gt;DDR3512M-FDS^FG_PRICE_CHANGE(0,-1AY)&lt;/Q&gt;&lt;R&gt;1&lt;/R&gt;&lt;C&gt;1&lt;/C&gt;&lt;D xsi:type="xsd:double"&gt;-6.41250337093007&lt;/D&gt;&lt;/FQL&gt;&lt;FQL&gt;&lt;Q&gt;PASP-FDS^FG_PRICE_CHANGE(0,-1AM)&lt;/Q&gt;&lt;R&gt;1&lt;/R&gt;&lt;C&gt;1&lt;/C&gt;&lt;D xsi:type="xsd:double"&gt;8.47457627118644&lt;/D&gt;&lt;/FQL&gt;&lt;FQL&gt;&lt;Q&gt;CPALM-FDS^MAX(FG_PRICE(0,-5AY))&lt;/Q&gt;&lt;R&gt;1&lt;/R&gt;&lt;C&gt;1&lt;/C&gt;&lt;D xsi:type="xsd:double"&gt;8163&lt;/D&gt;&lt;/FQL&gt;&lt;FQL&gt;&lt;Q&gt;TIOS-FDS^FG_PRICE(0)&lt;/Q&gt;&lt;R&gt;1&lt;/R&gt;&lt;C&gt;1&lt;/C&gt;&lt;D xsi:type="xsd:double"&gt;108.73&lt;/D&gt;&lt;/FQL&gt;&lt;FQL&gt;&lt;Q&gt;FC0000QA^FG_PRICE(0)&lt;/Q&gt;&lt;R&gt;1&lt;/R&gt;&lt;C&gt;1&lt;/C&gt;&lt;D xsi:type="xsd:double"&gt;101.947556&lt;/D&gt;&lt;/FQL&gt;&lt;FQL&gt;&lt;Q&gt;TUR^FG_PRICE(0)&lt;/Q&gt;&lt;R&gt;1&lt;/R&gt;&lt;C&gt;1&lt;/C&gt;&lt;D xsi:type="xsd:double"&gt;43.73&lt;/D&gt;&lt;/FQL&gt;&lt;FQL&gt;&lt;Q&gt;GREK^FG_PRICE_MAVG(0,,,,30)&lt;/Q&gt;&lt;R&gt;1&lt;/R&gt;&lt;C&gt;1&lt;/C&gt;&lt;D xsi:type="xsd:double"&gt;40.912754&lt;/D&gt;&lt;/FQL&gt;&lt;FQL&gt;&lt;Q&gt;VNM^P_PRICE(0)/P_PRICE_LOW_PR(0,,,,,,"PRICE","INTRA","52W")-1&lt;/Q&gt;&lt;R&gt;1&lt;/R&gt;&lt;C&gt;1&lt;/C&gt;&lt;D xsi:type="xsd:double"&gt;0.04691577&lt;/D&gt;&lt;/FQL&gt;&lt;FQL&gt;&lt;Q&gt;GREK^FMA_RBICS_REV_CURRENT(30, LOC, "PORTAGG")&lt;/Q&gt;&lt;R&gt;1&lt;/R&gt;&lt;C&gt;1&lt;/C&gt;&lt;D xsi:type="xsd:double"&gt;41.9107789519585&lt;/D&gt;&lt;/FQL&gt;&lt;FQL&gt;&lt;Q&gt;TRYDE10Y-FDS^FG_YIELD(-10AY,0,Y,,"YTM")&lt;/Q&gt;&lt;R&gt;10&lt;/R&gt;&lt;C&gt;1&lt;/C&gt;&lt;D xsi:type="xsd:double"&gt;0.5475&lt;/D&gt;&lt;D xsi:type="xsd:double"&gt;0.636&lt;/D&gt;&lt;D xsi:type="xsd:double"&gt;0.22&lt;/D&gt;&lt;D xsi:type="xsd:double"&gt;0.47&lt;/D&gt;&lt;D xsi:type="xsd:double"&gt;0.239&lt;/D&gt;&lt;D xsi:type="xsd:double"&gt;-0.189&lt;/D&gt;&lt;D xsi:type="xsd:double"&gt;-0.575&lt;/D&gt;&lt;D xsi:type="xsd:double"&gt;-0.181&lt;/D&gt;&lt;D xsi:type="xsd:double"&gt;2.534&lt;/D&gt;&lt;D xsi:type="xsd:double"&gt;2.004&lt;/D&gt;&lt;/FQL&gt;&lt;FQL&gt;&lt;Q&gt;CAGDPY@CL^EE_ACTUAL_ANNUAL(MED,0)&lt;/Q&gt;&lt;R&gt;1&lt;/R&gt;&lt;C&gt;1&lt;/C&gt;&lt;D xsi:type="xsd:double"&gt;-3.68653581083686&lt;/D&gt;&lt;/FQL&gt;&lt;FQL&gt;&lt;Q&gt;USDBRL^STD(FG_PRICE_CHANGE(0,-1AY,AM))&lt;/Q&gt;&lt;R&gt;1&lt;/R&gt;&lt;C&gt;1&lt;/C&gt;&lt;D xsi:type="xsd:double"&gt;2.85622506730142&lt;/D&gt;&lt;/FQL&gt;&lt;FQL&gt;&lt;Q&gt;USDCNH^FG_PRICE_CHANGE(0,-1AY)&lt;/Q&gt;&lt;R&gt;1&lt;/R&gt;&lt;C&gt;1&lt;/C&gt;&lt;D xsi:type="xsd:double"&gt;0.66131353&lt;/D&gt;&lt;/FQL&gt;&lt;FQL&gt;&lt;Q&gt;UAE^FG_TOTAL_RETURNC(-10AY,0,AM)&lt;/Q&gt;&lt;R&gt;121&lt;/R&gt;&lt;C&gt;1&lt;/C&gt;&lt;D xsi:type="xsd:double"&gt;4.136157&lt;/D&gt;&lt;D xsi:type="xsd:double"&gt;-0.41373968&lt;/D&gt;&lt;D xsi:type="xsd:double"&gt;5.2762747&lt;/D&gt;&lt;D xsi:type="xsd:double"&gt;-15.035516&lt;/D&gt;&lt;D xsi:type="xsd:double"&gt;4.9233556&lt;/D&gt;&lt;D xsi:type="xsd:double"&gt;-16.555994&lt;/D&gt;&lt;D xsi:type="xsd:double"&gt;5.776036&lt;/D&gt;&lt;D xsi:type="xsd:double"&gt;0.87269545&lt;/D&gt;&lt;D xsi:type="xsd:double"&gt;-9.7200985&lt;/D&gt;&lt;D xsi:type="xsd:double"&gt;18.750214&lt;/D&gt;&lt;D xsi:type="xsd:double"&gt;-1.1935592&lt;/D&gt;&lt;D xsi:type="xsd:double"&gt;-2.0652533&lt;/D&gt;&lt;D xsi:type="xsd:double"&gt;2.4451733&lt;/D&gt;&lt;D xsi:type="xsd:double"&gt;-9.005904&lt;/D&gt;&lt;D xsi:type="xsd:double"&gt;-3.623581&lt;/D&gt;&lt;D xsi:type="xsd:double"&gt;2.9180765&lt;/D&gt;&lt;D xsi:type="xsd:double"&gt;-14.449292&lt;/D&gt;&lt;D xsi:type="xsd:double"&gt;-4.143405&lt;/D&gt;&lt;D xsi:type="xsd:double"&gt;-9.282822&lt;/D&gt;&lt;D xsi:type="xsd:double"&gt;11.773359&lt;/D&gt;&lt;D xsi:type="xsd:double"&gt;12.409485&lt;/D&gt;&lt;D xsi:type="xsd:double"&gt;2.684033&lt;/D&gt;&lt;D xsi:type="xsd:double"&gt;-7.4332895&lt;/D&gt;&lt;D xsi:type="xsd:double"&gt;2.4645686&lt;/D&gt;&lt;D xsi:type="xsd:double"&gt;6.7759037&lt;/D&gt;&lt;D xsi:type="xsd:double"&gt;1.3442397&lt;/D&gt;&lt;D xsi:type="xsd:double"&gt;-2.7970076&lt;/D&gt;&lt;D xsi:type="xsd:double"&gt;-2.907145&lt;/D&gt;&lt;D xsi:type="xsd:double"&gt;-3.4524858&lt;/D&gt;&lt;D xsi:type="xsd:double"&gt;8.924044&lt;/D&gt;&lt;D xsi:type="xsd:double"&gt;1.6369224&lt;/D&gt;&lt;D xsi:type="xsd:double"&gt;0.92378855&lt;/D&gt;&lt;D xsi:type="xsd:double"&gt;-3.3180773&lt;/D&gt;&lt;D xsi:type="xsd:double"&gt;0.7692337&lt;/D&gt;&lt;D xsi:type="xsd:double"&gt;2.1139145&lt;/D&gt;&lt;D xsi:type="xsd:double"&gt;0.805068&lt;/D&gt;&lt;D xsi:type="xsd:double"&gt;4.548204&lt;/D&gt;&lt;D xsi:type="xsd:double"&gt;-1.9058287&lt;/D&gt;&lt;D xsi:type="xsd:double"&gt;1.0857224&lt;/D&gt;&lt;D xsi:type="xsd:double"&gt;1.1305809&lt;/D&gt;&lt;D xsi:type="xsd:double"&gt;-5.589718&lt;/D&gt;&lt;D xsi:type="xsd:double"&gt;-1.8918693&lt;/D&gt;&lt;D xsi:type="xsd:double"&gt;9.7753525&lt;/D&gt;&lt;D xsi:type="xsd:double"&gt;-6.1393857&lt;/D&gt;&lt;D xsi:type="xsd:double"&gt;-3.1231523&lt;/D&gt;&lt;D xsi:type="xsd:double"&gt;0.6751776&lt;/D&gt;&lt;D xsi:type="xsd:double"&gt;-3.571993&lt;/D&gt;&lt;D xsi:type="xsd:double"&gt;2.5826693&lt;/D&gt;&lt;D xsi:type="xsd:double"&gt;0.48521757&lt;/D&gt;&lt;D xsi:type="xsd:double"&gt;-0.88769794&lt;/D&gt;&lt;D xsi:type="xsd:double"&gt;-2.6248395&lt;/D&gt;&lt;D xsi:type="xsd:double"&gt;-1.8408895&lt;/D&gt;&lt;D xsi:type="xsd:double"&gt;0.60281754&lt;/D&gt;&lt;D xsi:type="xsd:double"&gt;-7.8352094&lt;/D&gt;&lt;D xsi:type="xsd:double"&gt;2.396512&lt;/D&gt;&lt;D xsi:type="xsd:double"&gt;-1.1347592&lt;/D&gt;&lt;D xsi:type="xsd:double"&gt;4.1606903&lt;/D&gt;&lt;D xsi:type="xsd:double"&gt;6.6797495&lt;/D&gt;&lt;D xsi:type="xsd:double"&gt;-11.232477&lt;/D&gt;&lt;D xsi:type="xsd:double"&gt;0.45672655&lt;/D&gt;&lt;D xsi:type="xsd:double"&gt;6.2265515&lt;/D&gt;&lt;D xsi:type="xsd:double"&gt;-3.5282433&lt;/D&gt;&lt;D xsi:type="xsd:double"&gt;3.584075&lt;/D&gt;&lt;D xsi:type="xsd:double"&gt;1.6961217&lt;/D&gt;&lt;D xsi:type="xsd:double"&gt;-4.3780384&lt;/D&gt;&lt;D xsi:type="xsd:double"&gt;-2.6889503&lt;/D&gt;&lt;D xsi:type="xsd:double"&gt;2.2031426&lt;/D&gt;&lt;D xsi:type="xsd:double"&gt;-5.443925&lt;/D&gt;&lt;D xsi:type="xsd:double"&gt;-29.675419&lt;/D&gt;&lt;D xsi:type="xsd:double"&gt;8.571423&lt;/D&gt;&lt;D xsi:type="xsd:double"&gt;2.2267222&lt;/D&gt;&lt;D xsi:type="xsd:double"&gt;6.9461346&lt;/D&gt;&lt;D xsi:type="xsd:double"&gt;-1.4160097&lt;/D&gt;&lt;D xsi:type="xsd:double"&gt;6.785536&lt;/D&gt;&lt;D xsi:type="xsd:double"&gt;1.2059331&lt;/D&gt;&lt;D xsi:type="xsd:double"&gt;-3.2502294&lt;/D&gt;&lt;D xsi:type="xsd:double"&gt;6.6752553&lt;/D&gt;&lt;D xsi:type="xsd:double"&gt;8.060228&lt;/D&gt;&lt;D xsi:type="xsd:double"&gt;9.786188&lt;/D&gt;&lt;D xsi:type="xsd:double"&gt;-3.2209754&lt;/D&gt;&lt;D xsi:type="xsd:double"&gt;2.7089834&lt;/D&gt;&lt;D xsi:type="xsd:double"&gt;1.4317989&lt;/D&gt;&lt;D xsi:type="xsd:double"&gt;5.8692455&lt;/D&gt;&lt;D xsi:type="xsd:double"&gt;3.801012&lt;/D&gt;&lt;D xsi:type="xsd:double"&gt;-3.4989476&lt;/D&gt;&lt;D xsi:type="xsd:double"&gt;4.641044&lt;/D&gt;&lt;D xsi:type="xsd:double"&gt;4.8322916&lt;/D&gt;&lt;D xsi:type="xsd:double"&gt;-3.1882763&lt;/D&gt;&lt;D xsi:type="xsd:double"&gt;13.499487&lt;/D&gt;&lt;D xsi:type="xsd:double"&gt;5.001557&lt;/D&gt;&lt;D xsi:type="xsd:double"&gt;-3.9021552&lt;/D&gt;&lt;D xsi:type="xsd:double"&gt;3.272736&lt;/D&gt;&lt;D xsi:type="xsd:double"&gt;6.9835544&lt;/D&gt;&lt;D xsi:type="xsd:double"&gt;4.1689515&lt;/D&gt;&lt;D xsi:type="xsd:double"&gt;-9.057397&lt;/D&gt;&lt;D xsi:type="xsd:double"&gt;-6.0822725&lt;/D&gt;&lt;D xsi:type="xsd:double"&gt;-1.5132368&lt;/D&gt;&lt;D xsi:type="xsd:double"&gt;6.5941095&lt;/D&gt;&lt;D xsi:type="xsd:double"&gt;-2.5825858&lt;/D&gt;&lt;D xsi:type="xsd:double"&gt;-5.733657&lt;/D&gt;&lt;D xsi:type="xsd:double"&gt;2.0274758&lt;/D&gt;&lt;D xsi:type="xsd:double"&gt;-2.0302832&lt;/D&gt;&lt;D xsi:type="xsd:double"&gt;-1.4426231&lt;/D&gt;&lt;D xsi:type="xsd:double"&gt;-0.6653309&lt;/D&gt;&lt;D xsi:type="xsd:double"&gt;-8.171469&lt;/D&gt;&lt;D xsi:type="xsd:double"&gt;6.9292426&lt;/D&gt;&lt;D xsi:type="xsd:double"&gt;-0.20463467&lt;/D&gt;&lt;D xsi:type="xsd:double"&gt;2.23006&lt;/D&gt;&lt;D xsi:type="xsd:double"&gt;2.953291&lt;/D&gt;&lt;D xsi:type="xsd:double"&gt;0.40026903&lt;/D&gt;&lt;D xsi:type="xsd:double"&gt;0.46511889&lt;/D&gt;&lt;D xsi:type="xsd:double"&gt;-7.208997&lt;/D&gt;&lt;D xsi:type="xsd:double"&gt;6.9850326&lt;/D&gt;&lt;D xsi:type="xsd:double"&gt;-3.0646265&lt;/D&gt;&lt;D xsi:type="xsd:double"&gt;3.2818198&lt;/D&gt;&lt;D xsi:type="xsd:double"&gt;0&lt;/D&gt;&lt;D xsi:type="xsd:double"&gt;0&lt;/D&gt;&lt;D xsi:type="xsd:double"&gt;-3.4159422&lt;/D&gt;&lt;D xsi:type="xsd:double"&gt;-0.27739406&lt;/D&gt;&lt;D xsi:type="xsd:double"&gt;-2.4957001&lt;/D&gt;&lt;D xsi:type="xsd:double"&gt;5.782068&lt;/D&gt;&lt;/FQL&gt;&lt;FQL&gt;&lt;Q&gt;TUR^FMA_PE(NTMA,-10AY,0,AM,"PORTAGG","MEANR")&lt;/Q&gt;&lt;R&gt;121&lt;/R&gt;&lt;C&gt;1&lt;/C&gt;&lt;D xsi:type="xsd:double"&gt;10.8905495978136&lt;/D&gt;&lt;D xsi:type="xsd:double"&gt;10.2362950447327&lt;/D&gt;&lt;D xsi:type="xsd:double"&gt;9.70964366637869&lt;/D&gt;&lt;D xsi:type="xsd:double"&gt;9.49224516641816&lt;/D&gt;&lt;D xsi:type="xsd:double"&gt;10.1161014888824&lt;/D&gt;&lt;D xsi:type="xsd:double"&gt;10.2612289470536&lt;/D&gt;&lt;D xsi:type="xsd:double"&gt;10.7551082482589&lt;/D&gt;&lt;D xsi:type="xsd:double"&gt;10.628975347382&lt;/D&gt;&lt;D xsi:type="xsd:double"&gt;10.0425337488226&lt;/D&gt;&lt;D xsi:type="xsd:double"&gt;10.0604018131133&lt;/D&gt;&lt;D xsi:type="xsd:double"&gt;10.8685517070269&lt;/D&gt;&lt;D xsi:type="xsd:double"&gt;10.0411538827324&lt;/D&gt;&lt;D xsi:type="xsd:double"&gt;9.98283093551732&lt;/D&gt;&lt;D xsi:type="xsd:double"&gt;8.93811146173867&lt;/D&gt;&lt;D xsi:type="xsd:double"&gt;8.92475458111996&lt;/D&gt;&lt;D xsi:type="xsd:double"&gt;9.37483294217834&lt;/D&gt;&lt;D xsi:type="xsd:double"&gt;9.36900885131362&lt;/D&gt;&lt;D xsi:type="xsd:double"&gt;8.24796757776098&lt;/D&gt;&lt;D xsi:type="xsd:double"&gt;7.95993148465543&lt;/D&gt;&lt;D xsi:type="xsd:double"&gt;8.24284091855681&lt;/D&gt;&lt;D xsi:type="xsd:double"&gt;9.28209980035454&lt;/D&gt;&lt;D xsi:type="xsd:double"&gt;9.41429523858841&lt;/D&gt;&lt;D xsi:type="xsd:double"&gt;8.43296676520198&lt;/D&gt;&lt;D xsi:type="xsd:double"&gt;8.1618370031192&lt;/D&gt;&lt;D xsi:type="xsd:double"&gt;8.19046955061973&lt;/D&gt;&lt;D xsi:type="xsd:double"&gt;8.48167375448263&lt;/D&gt;&lt;D xsi:type="xsd:double"&gt;8.38055606308953&lt;/D&gt;&lt;D xsi:type="xsd:double"&gt;8.38539881463027&lt;/D&gt;&lt;D xsi:type="xsd:double"&gt;7.70074457444191&lt;/D&gt;&lt;D xsi:type="xsd:double"&gt;7.61327231943264&lt;/D&gt;&lt;D xsi:type="xsd:double"&gt;8.04413879992297&lt;/D&gt;&lt;D xsi:type="xsd:double"&gt;8.6423529837716&lt;/D&gt;&lt;D xsi:type="xsd:double"&gt;8.55348959048189&lt;/D&gt;&lt;D xsi:type="xsd:double"&gt;8.38360548501807&lt;/D&gt;&lt;D xsi:type="xsd:double"&gt;8.51634871214939&lt;/D&gt;&lt;D xsi:type="xsd:double"&gt;8.66273281840993&lt;/D&gt;&lt;D xsi:type="xsd:double"&gt;9.01672753929082&lt;/D&gt;&lt;D xsi:type="xsd:double"&gt;8.54420577807073&lt;/D&gt;&lt;D xsi:type="xsd:double"&gt;8.23908550103824&lt;/D&gt;&lt;D xsi:type="xsd:double"&gt;8.32959525645968&lt;/D&gt;&lt;D xsi:type="xsd:double"&gt;8.01638829958981&lt;/D&gt;&lt;D xsi:type="xsd:double"&gt;7.90456395077888&lt;/D&gt;&lt;D xsi:type="xsd:double"&gt;8.16091755724792&lt;/D&gt;&lt;D xsi:type="xsd:double"&gt;8.0900156144236&lt;/D&gt;&lt;D xsi:type="xsd:double"&gt;7.79979695792216&lt;/D&gt;&lt;D xsi:type="xsd:double"&gt;7.46022104634923&lt;/D&gt;&lt;D xsi:type="xsd:double"&gt;6.7291145030929&lt;/D&gt;&lt;D xsi:type="xsd:double"&gt;6.24873819984538&lt;/D&gt;&lt;D xsi:type="xsd:double"&gt;6.010706445597&lt;/D&gt;&lt;D xsi:type="xsd:double"&gt;5.71468686541867&lt;/D&gt;&lt;D xsi:type="xsd:double"&gt;6.02018626309077&lt;/D&gt;&lt;D xsi:type="xsd:double"&gt;6.02396054150641&lt;/D&gt;&lt;D xsi:type="xsd:double"&gt;5.78684118473273&lt;/D&gt;&lt;D xsi:type="xsd:double"&gt;6.02428317277&lt;/D&gt;&lt;D xsi:type="xsd:double"&gt;6.84228789649919&lt;/D&gt;&lt;D xsi:type="xsd:double"&gt;6.96729263896506&lt;/D&gt;&lt;D xsi:type="xsd:double"&gt;7.31004778550894&lt;/D&gt;&lt;D xsi:type="xsd:double"&gt;6.31080147274818&lt;/D&gt;&lt;D xsi:type="xsd:double"&gt;5.60049207781887&lt;/D&gt;&lt;D xsi:type="xsd:double"&gt;6.16265955878994&lt;/D&gt;&lt;D xsi:type="xsd:double"&gt;6.54509855295481&lt;/D&gt;&lt;D xsi:type="xsd:double"&gt;6.16118569660339&lt;/D&gt;&lt;D xsi:type="xsd:double"&gt;6.31327538727211&lt;/D&gt;&lt;D xsi:type="xsd:double"&gt;6.06573319804206&lt;/D&gt;&lt;D xsi:type="xsd:double"&gt;6.45483180161293&lt;/D&gt;&lt;D xsi:type="xsd:double"&gt;6.34830645309078&lt;/D&gt;&lt;D xsi:type="xsd:double"&gt;6.77014940795671&lt;/D&gt;&lt;D xsi:type="xsd:double"&gt;6.585960617051&lt;/D&gt;&lt;D xsi:type="xsd:double"&gt;4.8649795083494&lt;/D&gt;&lt;D xsi:type="xsd:double"&gt;5.8896391720188&lt;/D&gt;&lt;D xsi:type="xsd:double"&gt;7.16530006065754&lt;/D&gt;&lt;D xsi:type="xsd:double"&gt;8.415417166716&lt;/D&gt;&lt;D xsi:type="xsd:double"&gt;8.38443415493236&lt;/D&gt;&lt;D xsi:type="xsd:double"&gt;7.92284530247576&lt;/D&gt;&lt;D xsi:type="xsd:double"&gt;7.50646408432944&lt;/D&gt;&lt;D xsi:type="xsd:double"&gt;7.71905107092732&lt;/D&gt;&lt;D xsi:type="xsd:double"&gt;8.26743208989847&lt;/D&gt;&lt;D xsi:type="xsd:double"&gt;7.80935862174764&lt;/D&gt;&lt;D xsi:type="xsd:double"&gt;7.96550347521992&lt;/D&gt;&lt;D xsi:type="xsd:double"&gt;7.38321219230671&lt;/D&gt;&lt;D xsi:type="xsd:double"&gt;7.28167452315801&lt;/D&gt;&lt;D xsi:type="xsd:double"&gt;6.1798017266668&lt;/D&gt;&lt;D xsi:type="xsd:double"&gt;6.32986243163655&lt;/D&gt;&lt;D xsi:type="xsd:double"&gt;5.84824034275255&lt;/D&gt;&lt;D xsi:type="xsd:double"&gt;5.47825202902978&lt;/D&gt;&lt;D xsi:type="xsd:double"&gt;5.4353580087492&lt;/D&gt;&lt;D xsi:type="xsd:double"&gt;5.2632989956639&lt;/D&gt;&lt;D xsi:type="xsd:double"&gt;5.13252937294936&lt;/D&gt;&lt;D xsi:type="xsd:double"&gt;5.84939873950477&lt;/D&gt;&lt;D xsi:type="xsd:double"&gt;6.48543385790177&lt;/D&gt;&lt;D xsi:type="xsd:double"&gt;5.53487743675904&lt;/D&gt;&lt;D xsi:type="xsd:double"&gt;4.58168778582733&lt;/D&gt;&lt;D xsi:type="xsd:double"&gt;4.64877421467023&lt;/D&gt;&lt;D xsi:type="xsd:double"&gt;5.161</t>
        </r>
      </text>
    </comment>
    <comment ref="A13" authorId="0" shapeId="0" xr:uid="{ACE1D6D5-14AE-438E-BECF-6A92A196B9E1}">
      <text>
        <r>
          <rPr>
            <b/>
            <sz val="9"/>
            <color indexed="81"/>
            <rFont val="Tahoma"/>
            <charset val="1"/>
          </rPr>
          <t>26134671057&lt;/D&gt;&lt;D xsi:type="xsd:double"&gt;4.38410604554046&lt;/D&gt;&lt;D xsi:type="xsd:double"&gt;4.82426966510755&lt;/D&gt;&lt;D xsi:type="xsd:double"&gt;4.32979816456227&lt;/D&gt;&lt;D xsi:type="xsd:double"&gt;4.49632546124071&lt;/D&gt;&lt;D xsi:type="xsd:double"&gt;4.43278718626098&lt;/D&gt;&lt;D xsi:type="xsd:double"&gt;4.89437089452627&lt;/D&gt;&lt;D xsi:type="xsd:double"&gt;5.24111249627342&lt;/D&gt;&lt;D xsi:type="xsd:double"&gt;5.76081377327915&lt;/D&gt;&lt;D xsi:type="xsd:double"&gt;5.59726736334749&lt;/D&gt;&lt;D xsi:type="xsd:double"&gt;4.97431441964225&lt;/D&gt;&lt;D xsi:type="xsd:double"&gt;4.98773061743094&lt;/D&gt;&lt;D xsi:type="xsd:double"&gt;4.73985010352466&lt;/D&gt;&lt;D xsi:type="xsd:double"&gt;4.05237787525825&lt;/D&gt;&lt;D xsi:type="xsd:double"&gt;4.91888613006569&lt;/D&gt;&lt;D xsi:type="xsd:double"&gt;5.52067453145554&lt;/D&gt;&lt;D xsi:type="xsd:double"&gt;5.97869695798068&lt;/D&gt;&lt;D xsi:type="xsd:double"&gt;5.70327270578291&lt;/D&gt;&lt;D xsi:type="xsd:double"&gt;5.46568401252332&lt;/D&gt;&lt;D xsi:type="xsd:double"&gt;4.85958719341263&lt;/D&gt;&lt;D xsi:type="xsd:double"&gt;4.59093636346727&lt;/D&gt;&lt;D xsi:type="xsd:double"&gt;4.68307643601941&lt;/D&gt;&lt;D xsi:type="xsd:double"&gt;5.34345151017194&lt;/D&gt;&lt;D xsi:type="xsd:double"&gt;5.02095365973387&lt;/D&gt;&lt;D xsi:type="xsd:double"&gt;5.50978425582&lt;/D&gt;&lt;D xsi:type="xsd:double"&gt;5.92641048108361&lt;/D&gt;&lt;D xsi:type="xsd:double"&gt;5.85448828404521&lt;/D&gt;&lt;D xsi:type="xsd:double"&gt;6.38842321139958&lt;/D&gt;&lt;/FQL&gt;&lt;FQL&gt;&lt;Q&gt;UAE^FMA_PE(LTMA,-10AY,0,AM,"PORTAGG","MEANR")&lt;/Q&gt;&lt;R&gt;121&lt;/R&gt;&lt;C&gt;1&lt;/C&gt;&lt;D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xsi:type="xsd:double"&gt;12.1380216727148&lt;/D&gt;&lt;D xsi:type="xsd:double"&gt;12.7300880296888&lt;/D&gt;&lt;D xsi:type="xsd:double"&gt;12.8758965433119&lt;/D&gt;&lt;D xsi:type="xsd:double"&gt;13.4955075964412&lt;/D&gt;&lt;D xsi:type="xsd:double"&gt;13.8332287977379&lt;/D&gt;&lt;D xsi:type="xsd:double"&gt;13.484901024235&lt;/D&gt;&lt;D xsi:type="xsd:double"&gt;13.6470482098043&lt;/D&gt;&lt;D xsi:type="xsd:double"&gt;12.9523801166474&lt;/D&gt;&lt;D xsi:type="xsd:double"&gt;13.3468019415394&lt;/D&gt;&lt;D xsi:type="xsd:double"&gt;13.7566111920033&lt;/D&gt;&lt;D xsi:type="xsd:double"&gt;12.3619633274297&lt;/D&gt;&lt;D xsi:type="xsd:double"&gt;12.0750336100751&lt;/D&gt;&lt;D xsi:type="xsd:double"&gt;11.8573687507711&lt;/D&gt;&lt;D xsi:type="xsd:double"&gt;12.5338123840076&lt;/D&gt;&lt;D xsi:type="xsd:double"&gt;13.0746238895343&lt;/D&gt;&lt;D xsi:type="xsd:double"&gt;13.3261642142566&lt;/D&gt;&lt;D xsi:type="xsd:double"&gt;13.1205506200934&lt;/D&gt;&lt;D xsi:type="xsd:double"&gt;13.0873852895696&lt;/D&gt;&lt;D xsi:type="xsd:double"&gt;13.6346308342217&lt;/D&gt;&lt;D xsi:type="xsd:double"&gt;13.590505314822&lt;/D&gt;&lt;D xsi:type="xsd:double"&gt;13.4870147370929&lt;/D&gt;&lt;D xsi:type="xsd:double"&gt;13.4989085655834&lt;/D&gt;&lt;D xsi:type="xsd:double"&gt;12.6495547411964&lt;/D&gt;&lt;D xsi:type="xsd:double"&gt;12.7245044598655&lt;/D&gt;&lt;D xsi:type="xsd:double"&gt;13.4963956010919&lt;/D&gt;&lt;D xsi:type="xsd:double"&gt;13.5463670009058&lt;/D&gt;&lt;D xsi:type="xsd:double"&gt;13.3423337538435&lt;/D&gt;&lt;D xsi:type="xsd:double"&gt;13.3205899970322&lt;/D&gt;&lt;D xsi:type="xsd:double"&gt;13.1264844756755&lt;/D&gt;&lt;D xsi:type="xsd:double"&gt;12.9275221720271&lt;/D&gt;&lt;D xsi:type="xsd:double"&gt;13.0922016404314&lt;/D&gt;&lt;D xsi:type="xsd:double"&gt;13.0130709328631&lt;/D&gt;&lt;D xsi:type="xsd:double"&gt;12.3932851163441&lt;/D&gt;&lt;D xsi:type="xsd:double"&gt;12.4397088757706&lt;/D&gt;&lt;D xsi:type="xsd:double"&gt;11.4835092089182&lt;/D&gt;&lt;D xsi:type="xsd:double"&gt;11.6377534310996&lt;/D&gt;&lt;D xsi:type="xsd:double"&gt;12.4029980254182&lt;/D&gt;&lt;D xsi:type="xsd:double"&gt;12.4862283407948&lt;/D&gt;&lt;D xsi:type="xsd:double"&gt;12.3404006894835&lt;/D&gt;&lt;D xsi:type="xsd:double"&gt;12.4090553899812&lt;/D&gt;&lt;D xsi:type="xsd:double"&gt;11.9474272291493&lt;/D&gt;&lt;D xsi:type="xsd:double"&gt;11.9217596531598&lt;/D&gt;&lt;D xsi:type="xsd:double"&gt;12.2347158381313&lt;/D&gt;&lt;D xsi:type="xsd:double"&gt;12.1412415285192&lt;/D&gt;&lt;D xsi:type="xsd:double"&gt;12.7464552081669&lt;/D&gt;&lt;D xsi:type="xsd:double"&gt;12.6261405933669&lt;/D&gt;&lt;D xsi:type="xsd:double"&gt;13.0368801891521&lt;/D&gt;&lt;D xsi:type="xsd:double"&gt;12.0327249176743&lt;/D&gt;&lt;D xsi:type="xsd:double"&gt;11.956436920481&lt;/D&gt;&lt;D xsi:type="xsd:double"&gt;12.2815278954628&lt;/D&gt;&lt;D xsi:type="xsd:double"&gt;12.7804413957441&lt;/D&gt;&lt;D xsi:type="xsd:double"&gt;12.8607688093344&lt;/D&gt;&lt;D xsi:type="xsd:double"&gt;12.3347366789729&lt;/D&gt;&lt;D xsi:type="xsd:double"&gt;12.8201372734422&lt;/D&gt;&lt;D xsi:type="xsd:double"&gt;13.0847276944395&lt;/D&gt;&lt;D xsi:type="xsd:double"&gt;13.6979504052874&lt;/D&gt;&lt;D xsi:type="xsd:double"&gt;14.5292953490339&lt;/D&gt;&lt;D xsi:type="xsd:double"&gt;14.2506650087602&lt;/D&gt;&lt;D xsi:type="xsd:double"&gt;14.4250647722142&lt;/D&gt;&lt;D xsi:type="xsd:double"&gt;15.894751821683&lt;/D&gt;&lt;D xsi:type="xsd:double"&gt;16.1477028407873&lt;/D&gt;&lt;D xsi:type="xsd:double"&gt;15.1288436869039&lt;/D&gt;&lt;D xsi:type="xsd:double"&gt;13.9306296467202&lt;/D&gt;&lt;D xsi:type="xsd:double"&gt;15.1785186710938&lt;/D&gt;&lt;D xsi:type="xsd:double"&gt;16.1720086924044&lt;/D&gt;&lt;D xsi:type="xsd:double"&gt;17.7346398185643&lt;/D&gt;&lt;D xsi:type="xsd:double"&gt;18.0935115879413&lt;/D&gt;&lt;D xsi:type="xsd:double"&gt;16.3228891830046&lt;/D&gt;&lt;D xsi:type="xsd:double"&gt;17.7108301149026&lt;/D&gt;&lt;D xsi:type="xsd:double"&gt;16.6795545074014&lt;/D&gt;&lt;D xsi:type="xsd:double"&gt;25.7876311059006&lt;/D&gt;&lt;D xsi:type="xsd:double"&gt;24.4974557306285&lt;/D&gt;&lt;D xsi:type="xsd:double"&gt;27.497274573196&lt;/D&gt;&lt;D xsi:type="xsd:double"&gt;28.0360120385131&lt;/D&gt;&lt;D xsi:type="xsd:double"&gt;26.8923190448041&lt;/D&gt;&lt;D xsi:type="xsd:double"&gt;25.4126743143357&lt;/D&gt;&lt;D xsi:type="xsd:double"&gt;24.2688769301492&lt;/D&gt;&lt;D xsi:type="xsd:double"&gt;23.5226872377384&lt;/D&gt;&lt;D xsi:type="xsd:double"&gt;22.0946707443835&lt;/D&gt;&lt;D xsi:type="xsd:double"&gt;21.1677255240243&lt;/D&gt;&lt;D xsi:type="xsd:double"&gt;20.3303928142127&lt;/D&gt;&lt;D xsi:type="xsd:double"&gt;18.8896132805847&lt;/D&gt;&lt;D xsi:type="xsd:double"&gt;18.8755288117508&lt;/D&gt;&lt;D xsi:type="xsd:double"&gt;18.0789604492144&lt;/D&gt;&lt;D xsi:type="xsd:double"&gt;16.8712478917528&lt;/D&gt;&lt;D xsi:type="xsd:double"&gt;16.8330932735826&lt;/D&gt;&lt;D xsi:type="xsd:double"&gt;17.2480534672289&lt;/D&gt;&lt;D xsi:type="xsd:double"&gt;17.3843994499083&lt;/D&gt;&lt;D xsi:type="xsd:double"&gt;16.7203377214337&lt;/D&gt;&lt;D xsi:type="xsd:double"&gt;15.995289075193&lt;/D&gt;&lt;D xsi:type="xsd:double"&gt;15.4324060781002&lt;/D&gt;&lt;D xsi:type="xsd:double"&gt;15.5932865642533&lt;/D&gt;&lt;D xsi:type="xsd:double"&gt;15.2178736703292&lt;/D&gt;&lt;D xsi:type="xsd:double"&gt;14.2486902407608&lt;/D&gt;&lt;D xsi:type="xsd:double"&gt;13.8786796921988&lt;/D&gt;&lt;D xsi:type="xsd:double"&gt;13.2732458055855&lt;/D&gt;&lt;D xsi:type="xsd:double"&gt;12.517433058692&lt;/D&gt;&lt;D xsi:type="xsd:double"&gt;12.5845401569445&lt;/D&gt;&lt;D xsi:type="xsd:double"&gt;12.1111903861482&lt;/D&gt;&lt;D xsi:type="xsd:double"&gt;12.07423355369&lt;/D&gt;&lt;D xsi:type="xsd:double"&gt;11.8548605314737&lt;/D&gt;&lt;D xsi:type="xsd:double"&gt;11.8042196262035&lt;/D&gt;&lt;D xsi:type="xsd:double"&gt;11.7417188916896&lt;/D&gt;&lt;D xsi:type="xsd:double"&gt;11.4912628027338&lt;/D&gt;&lt;D xsi:type="xsd:double"&gt;11.1101436320105&lt;/D&gt;&lt;D xsi:type="xsd:double"&gt;10.4098412007449&lt;/D&gt;&lt;D xsi:type="xsd:double"&gt;10.3842272299525&lt;/D&gt;&lt;D xsi:type="xsd:double"&gt;9.99078369500395&lt;/D&gt;&lt;D xsi:type="xsd:double"&gt;10.2709324331144&lt;/D&gt;&lt;D xsi:type="xsd:double"&gt;9.61770348224392&lt;/D&gt;&lt;D xsi:type="xsd:double"&gt;9.42739811689583&lt;/D&gt;&lt;D xsi:type="xsd:double"&gt;9.3289000571329&lt;/D&gt;&lt;D xsi:type="xsd:double"&gt;9.08297173458721&lt;/D&gt;&lt;D xsi:type="xsd:double"&gt;8.95767675581646&lt;/D&gt;&lt;D xsi:type="xsd:double"&gt;9.14454202957314&lt;/D&gt;&lt;/FQL&gt;&lt;FQL&gt;&lt;Q&gt;BRENT-FDS^FG_PRICE_CHANGE(0,-3AM)&lt;/Q&gt;&lt;R&gt;1&lt;/R&gt;&lt;C&gt;1&lt;/C&gt;&lt;D xsi:type="xsd:double"&gt;0&lt;/D&gt;&lt;/FQL&gt;&lt;FQL&gt;&lt;Q&gt;EIDO^FG_PRICE_MAVG(0,,,,60)&lt;/Q&gt;&lt;R&gt;1&lt;/R&gt;&lt;C&gt;1&lt;/C&gt;&lt;D xsi:type="xsd:double"&gt;19.9855&lt;/D&gt;&lt;/FQL&gt;&lt;FQL&gt;&lt;Q&gt;INDA^FG_TOTAL_RETURNC(0,-1AM)&lt;/Q&gt;&lt;R&gt;1&lt;/R&gt;&lt;C&gt;1&lt;/C&gt;&lt;D xsi:type="xsd:double"&gt;1.206994&lt;/D&gt;&lt;/FQL&gt;&lt;FQL&gt;&lt;Q&gt;EZA^PERCENT_CHANGE(FMA_EPS(+1,0,,,,"PORTAGG","MEAN"),FMA_EPS(+1,-1AM,,,,"PORTAGG","MEAN"))&lt;/Q&gt;&lt;R&gt;1&lt;/R&gt;&lt;C&gt;1&lt;/C&gt;&lt;D xsi:type="xsd:double"&gt;-0.749559096932318&lt;/D&gt;&lt;/FQL&gt;&lt;FQL&gt;&lt;Q&gt;EWW^FG_TOTAL_RETURNC(0,-12AM)&lt;/Q&gt;&lt;R&gt;1&lt;/R&gt;&lt;C&gt;1&lt;/C&gt;&lt;D xsi:type="xsd:double"&gt;-6.20082&lt;/D&gt;&lt;/FQL&gt;&lt;FQL&gt;&lt;Q&gt;EPOL^P_PRICE(0)/P_PRICE_LOW_PR(0,,,,,,"PRICE","INTRA","52W")-1&lt;/Q&gt;&lt;R&gt;1&lt;/R&gt;&lt;C&gt;1&lt;/C&gt;&lt;D xsi:type="xsd:double"&gt;0.48538363&lt;/D&gt;&lt;/FQL&gt;&lt;FQL&gt;&lt;Q&gt;EIDO^P_PRICE(0)/P_PRICE_HIGH_PR(0,,,,,,"PRICE","INTRA","52W")&lt;/Q&gt;&lt;R&gt;1&lt;/R&gt;&lt;C&gt;1&lt;/C&gt;&lt;D xsi:type="xsd:double"&gt;0.84654087&lt;/D&gt;&lt;/FQL&gt;&lt;FQL&gt;&lt;Q&gt;CNYA^FG_TOTAL_RETURNC(0,-6AM)&lt;/Q&gt;&lt;R&gt;1&lt;/R&gt;&lt;C&gt;1&lt;/C&gt;&lt;D xsi:type="xsd:double"&gt;6.468165&lt;/D&gt;&lt;/FQL&gt;&lt;FQL&gt;&lt;Q&gt;VWO^P_PRICE(0)/P_PRICE_HIGH_PR(0,,,,,,"PRICE","INTRA","52W")&lt;/Q&gt;&lt;R&gt;1&lt;/R&gt;&lt;C&gt;1&lt;/C&gt;&lt;D xsi:type="xsd:double"&gt;0.9607436&lt;/D&gt;&lt;/FQL&gt;&lt;FQL&gt;&lt;Q&gt;VWO^FMA_PCT_ABOVE_MAVG(200,0,,,,"PORTAGG")&lt;/Q&gt;&lt;R&gt;1&lt;/R&gt;&lt;C&gt;1&lt;/C&gt;&lt;D xsi:type="xsd:double"&gt;45.8530296519123&lt;/D&gt;&lt;/FQL&gt;&lt;FQL&gt;&lt;Q&gt;VGK^FMA_COS_UP("EPS","1M",+1,NOW,,,"PORTAGG","MEANR")&lt;/Q&gt;&lt;R&gt;1&lt;/R&gt;&lt;C&gt;1&lt;/C&gt;&lt;D xsi:type="xsd:double"&gt;515&lt;/D&gt;&lt;/FQL&gt;&lt;FQL&gt;&lt;Q&gt;QAT^FMA_COS_UP("EPS","1M",+1,NOW,,,"PORTAGG","MEANR")&lt;/Q&gt;&lt;R&gt;1&lt;/R&gt;&lt;C&gt;1&lt;/C&gt;&lt;D xsi:type="xsd:double"&gt;3&lt;/D&gt;&lt;/FQL&gt;&lt;FQL&gt;&lt;Q&gt;EWY^FMA_COS_UP("EPS","1M",+1,NOW,,,"PORTAGG","MEANR")&lt;/Q&gt;&lt;R&gt;1&lt;/R&gt;&lt;C&gt;1&lt;/C&gt;&lt;D xsi:type="xsd:double"&gt;44&lt;/D&gt;&lt;/FQL&gt;&lt;FQL&gt;&lt;Q&gt;EZA^FMA_RBICS_REV_CURRENT(30, LOC, "PORTAGG")&lt;/Q&gt;&lt;R&gt;1&lt;/R&gt;&lt;C&gt;1&lt;/C&gt;&lt;D xsi:type="xsd:double"&gt;44.0100715574757&lt;/D&gt;&lt;/FQL&gt;&lt;FQL&gt;&lt;Q&gt;REFQALEND-FDS^(SUBARRAY(NOT_NA(NO_REPEAT_F(FG_YIELD(NOW,-10AY,D))),0,1)-SUBARRAY(NOT_NA(NO_REPEAT_F(FG_YIELD(NOW,-10AY,D))),1,1))*100&lt;/Q&gt;&lt;R&gt;1&lt;/R&gt;&lt;C&gt;1&lt;/C&gt;&lt;D xsi:type="xsd:double"&gt;25&lt;/D&gt;&lt;/FQL&gt;&lt;FQL&gt;&lt;Q&gt;REFBRSELIC-FDS^PROPER_NAME(0,,,"SECURITY","NAME")&lt;/Q&gt;&lt;R&gt;1&lt;/R&gt;&lt;C&gt;1&lt;/C&gt;&lt;D xsi:type="xsd:string"&gt;Brazil Target Selic Rate&lt;/D&gt;&lt;/FQL&gt;&lt;FQL&gt;&lt;Q&gt;REFPL7D-FDS^FG_YIELD(NOW,,,0)&lt;/Q&gt;&lt;R&gt;1&lt;/R&gt;&lt;C&gt;1&lt;/C&gt;&lt;D xsi:type="xsd:double"&gt;5.75&lt;/D&gt;&lt;/FQL&gt;&lt;FQL&gt;&lt;Q&gt;TRYVN10Y-FDS^PCTCHG(FG_YIELD(0,,,,"YTM"),FG_YIELD(-1AM,,,,"YTM"))&lt;/Q&gt;&lt;R&gt;1&lt;/R&gt;&lt;C&gt;1&lt;/C&gt;&lt;D xsi:type="xsd:double"&gt;-0.15009621&lt;/D&gt;&lt;/FQL&gt;&lt;FQL&gt;&lt;Q&gt;TRYBR10Y-FDS^PCTCHG(FG_YIELD(0,,,,"YTM"),FG_YIELD(-3AM,,,,"YTM"))&lt;/Q&gt;&lt;R&gt;1&lt;/R&gt;&lt;C&gt;1&lt;/C&gt;&lt;D xsi:type="xsd:double"&gt;5.3905096&lt;/D&gt;&lt;/FQL&gt;&lt;FQL&gt;&lt;Q&gt;TRYID10Y-FDS^PCTCHG(FG_YIELD(0,,,,"YTM"),FG_YIELD(-1AM,,,,"YTM"))&lt;/Q&gt;&lt;R&gt;1&lt;/R&gt;&lt;C&gt;1&lt;/C&gt;&lt;D xsi:type="xsd:double"&gt;-2.8554094&lt;/D&gt;&lt;/FQL&gt;&lt;FQL&gt;&lt;Q&gt;TRYQA10Y-FDS^FG_YIELD(0,,,,"YTM")&lt;/Q&gt;&lt;R&gt;0&lt;/R&gt;&lt;C&gt;0&lt;/C&gt;&lt;/FQL&gt;&lt;FQL&gt;&lt;Q&gt;CC_AE^IMF_IFS_RCPI_Q(0)&lt;/Q&gt;&lt;R&gt;0&lt;/R&gt;&lt;C&gt;0&lt;/C&gt;&lt;/FQL&gt;&lt;FQL&gt;&lt;Q&gt;CC_CL^IMF_IFS_RCPI_Q(0)&lt;/Q&gt;&lt;R&gt;0&lt;/R&gt;&lt;C&gt;0&lt;/C&gt;&lt;/FQL&gt;&lt;FQL&gt;&lt;Q&gt;KSA^FMA_EVAL_EBITDA(NTMA,0,,,"PORTAGG","MEANR")&lt;/Q&gt;&lt;R&gt;1&lt;/R&gt;&lt;C&gt;1&lt;/C&gt;&lt;D xsi:type="xsd:double"&gt;11.0842910409795&lt;/D&gt;&lt;/FQL&gt;&lt;FQL&gt;&lt;Q&gt;TRYKR10Y-FDS^FG_YIELD(-10AY,0,Y,,"YTM")&lt;/Q&gt;&lt;R&gt;10&lt;/R&gt;&lt;C&gt;1&lt;/C&gt;&lt;D xsi:type="xsd:double"&gt;2.6272&lt;/D&gt;&lt;D xsi:type="xsd:double"&gt;2.0852&lt;/D&gt;&lt;D xsi:type="xsd:double"&gt;2.0916&lt;/D&gt;&lt;D xsi:type="xsd:double"&gt;2.4797&lt;/D&gt;&lt;D xsi:type="xsd:double"&gt;1.9804&lt;/D&gt;&lt;D xsi:type="xsd:double"&gt;1.6728&lt;/D&gt;&lt;D xsi:type="xsd:double"&gt;1.7238&lt;/D&gt;&lt;D xsi:type="xsd:double"&gt;2.2417&lt;/D&gt;&lt;D xsi:type="xsd:double"&gt;3.6906&lt;/D&gt;&lt;D xsi:type="xsd:double"&gt;3.1928&lt;/D&gt;&lt;/FQL&gt;&lt;FQL&gt;&lt;Q&gt;USDAED^FG_PRICE_CHANGE(0,-6AM)&lt;/Q&gt;&lt;R&gt;1&lt;/R&gt;&lt;C&gt;1&lt;/C&gt;&lt;D xsi:type="xsd:double"&gt;0.0013589859&lt;/D&gt;&lt;/FQL&gt;&lt;FQL&gt;&lt;Q&gt;USDPHP^STD(FG_PRICE_CHANGE(0,-1AY,AM))&lt;/Q&gt;&lt;R&gt;1&lt;/R&gt;&lt;C&gt;1&lt;/C&gt;&lt;D xsi:type="xsd:double"&gt;1.62088197197027&lt;/D&gt;&lt;/FQL&gt;&lt;FQL&gt;&lt;Q&gt;UAE^P_PRICE_RETURNS_PR('52W',2,-10AY,0,AM)&lt;/Q&gt;&lt;R&gt;121&lt;/R&gt;&lt;C&gt;1&lt;/C&gt;&lt;D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xsi:type="xsd:double"&gt;-12.189752&lt;/D&gt;&lt;D xsi:type="xsd:double"&gt;-10.103112&lt;/D&gt;&lt;D xsi:type="xsd:double"&gt;-10.642302&lt;/D&gt;&lt;D xsi:type="xsd:double"&gt;-19.193108&lt;/D&gt;&lt;D xsi:type="xsd:double"&gt;-26.024372&lt;/D&gt;&lt;D xsi:type="xsd:double"&gt;-10.392809&lt;/D&gt;&lt;D xsi:type="xsd:double"&gt;-26.937538&lt;/D&gt;&lt;D xsi:type="xsd:double"&gt;-14.986837&lt;/D&gt;&lt;D xsi:type="xsd:double"&gt;-28.018082&lt;/D&gt;&lt;D xsi:type="xsd:double"&gt;-20.239449&lt;/D&gt;&lt;D xsi:type="xsd:double"&gt;-1.7407715&lt;/D&gt;&lt;D xsi:type="xsd:double"&gt;-14.124638&lt;/D&gt;&lt;D xsi:type="xsd:double"&gt;-19.547754&lt;/D&gt;&lt;D xsi:type="xsd:double"&gt;-17.01889&lt;/D&gt;&lt;D xsi:type="xsd:double"&gt;-12.268251&lt;/D&gt;&lt;D xsi:type="xsd:double"&gt;-2.289188&lt;/D&gt;&lt;D xsi:type="xsd:double"&gt;-1.4511585&lt;/D&gt;&lt;D xsi:type="xsd:double"&gt;-7.0290804&lt;/D&gt;&lt;D xsi:type="xsd:double"&gt;5.934274&lt;/D&gt;&lt;D xsi:type="xsd:double"&gt;19.22474&lt;/D&gt;&lt;D xsi:type="xsd:double"&gt;33.57595&lt;/D&gt;&lt;D xsi:type="xsd:double"&gt;19.898092&lt;/D&gt;&lt;D xsi:type="xsd:double"&gt;4.0703535&lt;/D&gt;&lt;D xsi:type="xsd:double"&gt;1.8007278&lt;/D&gt;&lt;D xsi:type="xsd:double"&gt;12.300312&lt;/D&gt;&lt;D xsi:type="xsd:double"&gt;10.481512&lt;/D&gt;&lt;D xsi:type="xsd:double"&gt;8.176506&lt;/D&gt;&lt;D xsi:type="xsd:double"&gt;4.8282385&lt;/D&gt;&lt;D xsi:type="xsd:double"&gt;8.889818&lt;/D&gt;&lt;D xsi:type="xsd:double"&gt;13.418126&lt;/D&gt;&lt;D xsi:type="xsd:double"&gt;11.400986&lt;/D&gt;&lt;D xsi:type="xsd:double"&gt;-0.105410814&lt;/D&gt;&lt;D xsi:type="xsd:double"&gt;7.8935027&lt;/D&gt;&lt;D xsi:type="xsd:double"&gt;1.7984748&lt;/D&gt;&lt;D xsi:type="xsd:double"&gt;0.544858&lt;/D&gt;&lt;D xsi:type="xsd:double"&gt;0.45101643&lt;/D&gt;&lt;D xsi:type="xsd:double"&gt;-4.261434&lt;/D&gt;&lt;D xsi:type="xsd:double"&gt;-3.4695804&lt;/D&gt;&lt;D xsi:type="xsd:double"&gt;-7.220978&lt;/D&gt;&lt;D xsi:type="xsd:double"&gt;-5.174285&lt;/D&gt;&lt;D xsi:type="xsd:double"&gt;-9.699005&lt;/D&gt;&lt;D xsi:type="xsd:double"&gt;-12.35227&lt;/D&gt;&lt;D xsi:type="xsd:double"&gt;-6.6033125&lt;/D&gt;&lt;D xsi:type="xsd:double"&gt;-12.261236&lt;/D&gt;&lt;D xsi:type="xsd:double"&gt;-16.660744&lt;/D&gt;&lt;D xsi:type="xsd:double"&gt;-13.795072&lt;/D&gt;&lt;D xsi:type="xsd:double"&gt;-7.313609&lt;/D&gt;&lt;D xsi:type="xsd:double"&gt;-2.6618183&lt;/D&gt;&lt;D xsi:type="xsd:double"&gt;-9.786898&lt;/D&gt;&lt;D xsi:type="xsd:double"&gt;-11.461639&lt;/D&gt;&lt;D xsi:type="xsd:double"&gt;-6.402892&lt;/D&gt;&lt;D xsi:type="xsd:double"&gt;-8.896505&lt;/D&gt;&lt;D xsi:type="xsd:double"&gt;-3.0874908&lt;/D&gt;&lt;D xsi:type="xsd:double"&gt;0.33739805&lt;/D&gt;&lt;D xsi:type="xsd:double"&gt;-4.566443&lt;/D&gt;&lt;D xsi:type="xsd:double"&gt;0.7623434&lt;/D&gt;&lt;D xsi:type="xsd:double"&gt;1.507926&lt;/D&gt;&lt;D xsi:type="xsd:double"&gt;-3.8115144&lt;/D&gt;&lt;D xsi:type="xsd:double"&gt;-35.05789&lt;/D&gt;&lt;D xsi:type="xsd:double"&gt;-33.21693&lt;/D&gt;&lt;D xsi:type="xsd:double"&gt;-23.884995&lt;/D&gt;&lt;D xsi:type="xsd:double"&gt;-18.968046&lt;/D&gt;&lt;D xsi:type="xsd:double"&gt;-23.336155&lt;/D&gt;&lt;D xsi:type="xsd:double"&gt;-16.758125&lt;/D&gt;&lt;D xsi:type="xsd:double"&gt;-18.66923&lt;/D&gt;&lt;D xsi:type="xsd:double"&gt;-22.625048&lt;/D&gt;&lt;D xsi:type="xsd:double"&gt;-13.680977&lt;/D&gt;&lt;D xsi:type="xsd:double"&gt;-4.7152877&lt;/D&gt;&lt;D xsi:type="xsd:double"&gt;2.9659748&lt;/D&gt;&lt;D xsi:type="xsd:double"&gt;5.3866267&lt;/D&gt;&lt;D xsi:type="xsd:double"&gt;53.917076&lt;/D&gt;&lt;D xsi:type="xsd:double"&gt;43.795525&lt;/D&gt;&lt;D xsi:type="xsd:double"&gt;48.919224&lt;/D&gt;&lt;D xsi:type="xsd:double"&gt;46.688473&lt;/D&gt;&lt;D xsi:type="xsd:double"&gt;41.48581&lt;/D&gt;&lt;D xsi:type="xsd:double"&gt;38.64448&lt;/D&gt;&lt;D xsi:type="xsd:double"&gt;43.349503&lt;/D&gt;&lt;D xsi:type="xsd:double"&gt;43.704258&lt;/D&gt;&lt;D xsi:type="xsd:double"&gt;52.897297&lt;/D&gt;&lt;D xsi:type="xsd:double"&gt;47.97444&lt;/D&gt;&lt;D xsi:type="xsd:double"&gt;30.045593&lt;/D&gt;&lt;D xsi:type="xsd:double"&gt;38.6641&lt;/D&gt;&lt;D xsi:type="xsd:double"&gt;44.43804&lt;/D&gt;&lt;D xsi:type="xsd:double"&gt;48.44748&lt;/D&gt;&lt;D xsi:type="xsd:double"&gt;27.5177&lt;/D&gt;&lt;D xsi:type="xsd:double"&gt;15.618968&lt;/D&gt;&lt;D xsi:type="xsd:double"&gt;17.750347&lt;/D&gt;&lt;D xsi:type="xsd:double"&gt;19.94809&lt;/D&gt;&lt;D xsi:type="xsd:double"&gt;11.46406&lt;/D&gt;&lt;D xsi:type="xsd:double"&gt;8.533442&lt;/D&gt;&lt;D xsi:type="xsd:double"&gt;-2.8341413&lt;/D&gt;&lt;D xsi:type="xsd:double"&gt;-8.970338&lt;/D&gt;&lt;D xsi:type="xsd:double"&gt;-6.6405296&lt;/D&gt;&lt;D xsi:type="xsd:double"&gt;-9.8035755&lt;/D&gt;&lt;D xsi:type="xsd:double"&gt;-23.341846&lt;/D&gt;&lt;D xsi:type="xsd:double"&gt;-20.878893&lt;/D&gt;&lt;D xsi:type="xsd:double"&gt;-13.176888&lt;/D&gt;&lt;D xsi:type="xsd:double"&gt;-6.0257616&lt;/D&gt;&lt;D xsi:type="xsd:double"&gt;-1.2064159&lt;/D&gt;&lt;D xsi:type="xsd:double"&gt;-6.497729&lt;/D&gt;&lt;D xsi:type="xsd:double"&gt;-4.035836&lt;/D&gt;&lt;D xsi:type="xsd:double"&gt;-5.5377364&lt;/D&gt;&lt;D xsi:type="xsd:double"&gt;-1.0112286&lt;/D&gt;&lt;D xsi:type="xsd:double"&gt;-1.993531&lt;/D&gt;&lt;D xsi:type="xsd:double"&gt;2.7045012&lt;/D&gt;&lt;D xsi:type="xsd:double"&gt;3.670156&lt;/D&gt;&lt;D xsi:type="xsd:double"&gt;12.592899&lt;/D&gt;&lt;D xsi:type="xsd:double"&gt;1.6997695&lt;/D&gt;&lt;D xsi:type="xsd:double"&gt;1.4183521&lt;/D&gt;&lt;D xsi:type="xsd:double"&gt;-3.0721962&lt;/D&gt;&lt;D xsi:type="xsd:double"&gt;-0.4089713&lt;/D&gt;&lt;/FQL&gt;&lt;FQL&gt;&lt;Q&gt;TUR^FG_TOTAL_RETURNC(-10AY,0,AM)&lt;/Q&gt;&lt;R&gt;121&lt;/R&gt;&lt;C&gt;1&lt;/C&gt;&lt;D xsi:type="xsd:double"&gt;4.866791&lt;/D&gt;&lt;D xsi:type="xsd:double"&gt;-5.3854046&lt;/D&gt;&lt;D xsi:type="xsd:double"&gt;-7.0922017&lt;/D&gt;&lt;D xsi:type="xsd:double"&gt;-1.6637266&lt;/D&gt;&lt;D xsi:type="xsd:double"&gt;8.9172&lt;/D&gt;&lt;D xsi:type="xsd:double"&gt;-1.5350878&lt;/D&gt;&lt;D xsi:type="xsd:double"&gt;4.73274&lt;/D&gt;&lt;D xsi:type="xsd:double"&gt;-7.6555014&lt;/D&gt;&lt;D xsi:type="xsd:double"&gt;-11.091918&lt;/D&gt;&lt;D xsi:type="xsd:double"&gt;-0.1942575&lt;/D&gt;&lt;D xsi:type="xsd:double"&gt;10.813152&lt;/D&gt;&lt;D xsi:type="xsd:double"&gt;-10.089779&lt;/D&gt;&lt;D xsi:type="xsd:double"&gt;2.7465224&lt;/D&gt;&lt;D xsi:type="xsd:double"&gt;-17.711943&lt;/D&gt;&lt;D xsi:type="xsd:double"&gt;-4.3626785&lt;/D&gt;&lt;D xsi:type="xsd:double"&gt;11.541629&lt;/D&gt;&lt;D xsi:type="xsd:double"&gt;3.5230398&lt;/D&gt;&lt;D xsi:type="xsd:double"&gt;-12.232267&lt;/D&gt;&lt;D xsi:type="xsd:double"&gt;-7.1316004&lt;/D&gt;&lt;D xsi:type="xsd:double"&gt;6.9217205&lt;/D&gt;&lt;D xsi:type="xsd:double"&gt;17.836655&lt;/D&gt;&lt;D xsi:type="xsd:double"&gt;6.6064&lt;/D&gt;&lt;D xsi:type="xsd:double"&gt;-17.047184&lt;/D&gt;&lt;D xsi:type="xsd:double"&gt;2.5950193&lt;/D&gt;&lt;D xsi:type="xsd:double"&gt;-3.3214688&lt;/D&gt;&lt;D xsi:type="xsd:double"&gt;7.241285&lt;/D&gt;&lt;D xsi:type="xsd:double"&gt;-2.973044&lt;/D&gt;&lt;D xsi:type="xsd:double"&gt;-0.51933527&lt;/D&gt;&lt;D xsi:type="xsd:double"&gt;-13.756198&lt;/D&gt;&lt;D xsi:type="xsd:double"&gt;-3.3293009&lt;/D&gt;&lt;D xsi:type="xsd:double"&gt;-1.06498&lt;/D&gt;&lt;D xsi:type="xsd:double"&gt;14.294779&lt;/D&gt;&lt;D xsi:type="xsd:double"&gt;1.5807033&lt;/D&gt;&lt;D xsi:type="xsd:double"&gt;-0.27300715&lt;/D&gt;&lt;D xsi:type="xsd:double"&gt;9.991789&lt;/D&gt;&lt;D xsi:type="xsd:double"&gt;4.853165&lt;/D&gt;&lt;D xsi:type="xsd:double"&gt;8.318317&lt;/D&gt;&lt;D xsi:type="xsd:double"&gt;-0.76387525&lt;/D&gt;&lt;D xsi:type="xsd:double"&gt;-1.3357401&lt;/D&gt;&lt;D xsi:type="xsd:double"&gt;-1.698029&lt;/D&gt;&lt;D xsi:type="xsd:double"&gt;-7.6563954&lt;/D&gt;&lt;D xsi:type="xsd:double"&gt;3.9114714&lt;/D&gt;&lt;D xsi:type="xsd:double"&gt;6.5381765&lt;/D&gt;&lt;D xsi:type="xsd:double"&gt;2.9539704&lt;/D&gt;&lt;D xsi:type="xsd:double"&gt;-6.6614747&lt;/D&gt;&lt;D xsi:type="xsd:double"&gt;-4.110563&lt;/D&gt;&lt;D xsi:type="xsd:double"&gt;-17.122274&lt;/D&gt;&lt;D xsi:type="xsd:double"&gt;-11.127281&lt;/D&gt;&lt;D xsi:type="xsd:double"&gt;-4.004174&lt;/D&gt;&lt;D xsi:type="xsd:double"&gt;-22.92347&lt;/D&gt;&lt;D xsi:type="xsd:double"&gt;5.2705884&lt;/D&gt;&lt;D xsi:type="xsd:double"&gt;10.192215&lt;/D&gt;&lt;D xsi:type="xsd:double"&gt;3.5699844&lt;/D&gt;&lt;D xsi:type="xsd:double"&gt;-3.3046305&lt;/D&gt;&lt;D xsi:type="xsd:double"&gt;9.427059&lt;/D&gt;&lt;D xsi:type="xsd:double"&gt;3.0449271&lt;/D&gt;&lt;D xsi:type="xsd:double"&gt;-1.333338&lt;/D&gt;&lt;D xsi:type="xsd:double"&gt;-11.760407&lt;/D&gt;&lt;D xsi:type="xsd:double"&gt;-13.990063&lt;/D&gt;&lt;D xsi:type="xsd:double"&gt;16.499317&lt;/D&gt;&lt;D xsi:type="xsd:double"&gt;8.902073&lt;/D&gt;&lt;D xsi:type="xsd:double"&gt;-5.488515&lt;/D&gt;&lt;D xsi:type="xsd:double"&gt;3.6655664&lt;/D&gt;&lt;D xsi:type="xsd:double"&gt;-3.0591965&lt;/D&gt;&lt;D xsi:type="xsd:double"&gt;11.229504&lt;/D&gt;&lt;D xsi:type="xsd:double"&gt;-2.0854414&lt;/D&gt;&lt;D xsi:type="xsd:double"&gt;11.149157&lt;/D&gt;&lt;D xsi:type="xsd:double"&gt;-6.1622677&lt;/D&gt;&lt;D xsi:type="xsd:double"&gt;-33.783295&lt;/D&gt;&lt;D xsi:type="xsd:double"&gt;10.964191&lt;/D&gt;&lt;D xsi:type="xsd:double"&gt;4.766643&lt;/D&gt;&lt;D xsi:type="xsd:double"&gt;8.450615&lt;/D&gt;&lt;D xsi:type="xsd:double"&gt;3.827548&lt;/D&gt;&lt;D xsi:type="xsd:double"&gt;-10.635596&lt;/D&gt;&lt;D xsi:type="xsd:double"&gt;-5.405402&lt;/D&gt;&lt;D xsi:type="xsd:double"&gt;2.3558855&lt;/D&gt;&lt;D xsi:type="xsd:double"&gt;16.062689&lt;/D&gt;&lt;D xsi:type="xsd:double"&gt;5.2379727&lt;/D&gt;&lt;D xsi:type="xsd:double"&gt;12.06758&lt;/D&gt;&lt;D xsi:type="xsd:double"&gt;6.999278&lt;/D&gt;&lt;D xsi:type="xsd:double"&gt;-4.1932225&lt;/D&gt;&lt;D xsi:type="xsd:double"&gt;-18.662464&lt;/D&gt;&lt;D xsi:type="xsd:double"&gt;2.1523833&lt;/D&gt;&lt;D xsi:type="xsd:double"&gt;-6.5292063&lt;/D&gt;&lt;D xsi:type="xsd:double"&gt;-2.878368&lt;/D&gt;&lt;D xsi:type="xsd:double"&gt;8.221793&lt;/D&gt;&lt;D xsi:type="xsd:double"&gt;-1.72261&lt;/D&gt;&lt;D xsi:type="xsd:double"&gt;-6.6966295&lt;/D&gt;&lt;D xsi:type="xsd:double"&gt;1.5895963&lt;/D&gt;&lt;D xsi:type="xsd:double"&gt;-18.50922&lt;/D&gt;&lt;D xsi:type="xsd:double"&gt;20.338976&lt;/D&gt;&lt;D xsi:type="xsd:double"&gt;-2.2826552&lt;/D&gt;&lt;D xsi:type="xsd:double"&gt;-3.0815125&lt;/D&gt;&lt;D xsi:type="xsd:double"&gt;20.769226&lt;/D&gt;&lt;D xsi:type="xsd:double"&gt;-12.526536&lt;/D&gt;&lt;D xsi:type="xsd:double"&gt;-3.8015604&lt;/D&gt;&lt;D xsi:type="xsd:double"&gt;-2.6466012&lt;/D&gt;&lt;D xsi:type="xsd:double"&gt;15.618336&lt;/D&gt;&lt;D xsi:type="xsd:double"&gt;5.5786014&lt;/D&gt;&lt;D xsi:type="xsd:double"&gt;17.860258&lt;/D&gt;&lt;D xsi:type="xsd:double"&gt;11.893296&lt;/D&gt;&lt;D xsi:type="xsd:double"&gt;21.064556&lt;/D&gt;&lt;D xsi:type="xsd:double"&gt;0.24739504&lt;/D&gt;&lt;D xsi:type="xsd:double"&gt;-6.580758&lt;/D&gt;&lt;D xsi:type="xsd:double"&gt;2.8764248&lt;/D&gt;&lt;D xsi:type="xsd:double"&gt;-3.2239676&lt;/D&gt;&lt;D xsi:type="xsd:double"&gt;-13.266504&lt;/D&gt;&lt;D xsi:type="xsd:double"&gt;3.2098413&lt;/D&gt;&lt;D xsi:type="xsd:double"&gt;6.311846&lt;/D&gt;&lt;D xsi:type="xsd:double"&gt;12.483954&lt;/D&gt;&lt;D xsi:type="xsd:double"&gt;4.0798903&lt;/D&gt;&lt;D xsi:type="xsd:double"&gt;-3.8651288&lt;/D&gt;&lt;D xsi:type="xsd:double"&gt;0.25663376&lt;/D&gt;&lt;D xsi:type="xsd:double"&gt;-3.1854331&lt;/D&gt;&lt;D xsi:type="xsd:double"&gt;0.05055666&lt;/D&gt;&lt;D xsi:type="xsd:double"&gt;14.035606&lt;/D&gt;&lt;D xsi:type="xsd:double"&gt;-8.456934&lt;/D&gt;&lt;D xsi:type="xsd:double"&gt;8.612847&lt;/D&gt;&lt;D xsi:type="xsd:double"&gt;12.928557&lt;/D&gt;&lt;D xsi:type="xsd:double"&gt;-1.9765377&lt;/D&gt;&lt;D xsi:type="xsd:double"&gt;4.667306&lt;/D&gt;&lt;/FQL&gt;&lt;FQL&gt;&lt;Q&gt;QAT^FMA_DIV_YLD(NTMA,-10AY,0,AM,"PORTAGG","MEANR")&lt;/Q&gt;&lt;R&gt;121&lt;/R&gt;&lt;C&gt;1&lt;/C&gt;&lt;D xsi:type="xsd:double"&gt;3.94192610040388&lt;/D&gt;&lt;D xsi:type="xsd:double"&gt;3.93409491302383&lt;/D&gt;&lt;D xsi:type="xsd:double"&gt;3.86903228734096&lt;/D&gt;&lt;D xsi:type="xsd:double"&gt;4.25418508877838&lt;/D&gt;&lt;D xsi:type="xsd:double"&gt;3.9818947700404&lt;/D&gt;&lt;D xsi:type="xsd:double"&gt;4.85941847789586&lt;/D&gt;&lt;D xsi:type="xsd:double"&gt;4.70438429196102&lt;/D&gt;&lt;D xsi:type="xsd:double"&gt;4.11039759846993&lt;/D&gt;&lt;D xsi:type="xsd:double"&gt;4.5186643550059&lt;/D&gt;&lt;D xsi:type="xsd:double"&gt;4.53462125896666&lt;/D&gt;&lt;D xsi:type="xsd:double"&gt;4.50715271668592&lt;/D&gt;&lt;D xsi:type="xsd:double"&gt;4.67360015080424&lt;/D&gt;&lt;D xsi:type="xsd:double"&gt;4.6352944494029&lt;/D&gt;&lt;D xsi:type="xsd:double"&gt;4.87961714328912&lt;/D&gt;&lt;D xsi:type="xsd:double"&gt;4.96159219109809&lt;/D&gt;&lt;D xsi:type="xsd:double"&gt;4.81628814279857&lt;/D&gt;&lt;D xsi:type="xsd:double"&gt;5.22091438834813&lt;/D&gt;&lt;D xsi:type="xsd:double"&gt;5.68898531930651&lt;/D&gt;&lt;D xsi:type="xsd:double"&gt;6.19074079750097&lt;/D&gt;&lt;D xsi:type="xsd:double"&gt;5.0455969803331&lt;/D&gt;&lt;D xsi:type="xsd:double"&gt;4.19151459338304&lt;/D&gt;&lt;D xsi:type="xsd:double"&gt;4.23227536914593&lt;/D&gt;&lt;D xsi:type="xsd:double"&gt;4.3537727004714&lt;/D&gt;&lt;D xsi:type="xsd:double"&gt;4.27164876486514&lt;/D&gt;&lt;D xsi:type="xsd:double"&gt;3.98158796227929&lt;/D&gt;&lt;D xsi:type="xsd:double"&gt;3.55197995736034&lt;/D&gt;&lt;D xsi:type="xsd:double"&gt;4.05442170750102&lt;/D&gt;&lt;D xsi:type="xsd:double"&gt;3.89903187140204&lt;/D&gt;&lt;D xsi:type="xsd:double"&gt;4.19746647139295&lt;/D&gt;&lt;D xsi:type="xsd:double"&gt;3.9530481212028&lt;/D&gt;&lt;D xsi:type="xsd:double"&gt;3.57440500118084&lt;/D&gt;&lt;D xsi:type="xsd:double"&gt;3.72473641547624&lt;/D&gt;&lt;D xsi:type="xsd:double"&gt;3.85666512334892&lt;/D&gt;&lt;D xsi:type="xsd:double"&gt;3.85398207056168&lt;/D&gt;&lt;D xsi:type="xsd:double"&gt;3.92041157493468&lt;/D&gt;&lt;D xsi:type="xsd:double"&gt;4.4041405443573&lt;/D&gt;&lt;D xsi:type="xsd:double"&gt;4.13753796390005&lt;/D&gt;&lt;D xsi:type="xsd:double"&gt;4.25629788503364&lt;/D&gt;&lt;D xsi:type="xsd:double"&gt;4.88524064958077&lt;/D&gt;&lt;D xsi:type="xsd:double"&gt;4.51143750976597&lt;/D&gt;&lt;D xsi:type="xsd:double"&gt;4.65580235692523&lt;/D&gt;&lt;D xsi:type="xsd:double"&gt;4.2884000997426&lt;/D&gt;&lt;D xsi:type="xsd:double"&gt;4.10848494301487&lt;/D&gt;&lt;D xsi:type="xsd:double"&gt;4.55566108992938&lt;/D&gt;&lt;D xsi:type="xsd:double"&gt;4.86496559721308&lt;/D&gt;&lt;D xsi:type="xsd:double"&gt;4.64555738981559&lt;/D&gt;&lt;D xsi:type="xsd:double"&gt;4.85181258210376&lt;/D&gt;&lt;D xsi:type="xsd:double"&gt;4.8218364836847&lt;/D&gt;&lt;D xsi:type="xsd:double"&gt;4.6706506049799&lt;/D&gt;&lt;D xsi:type="xsd:double"&gt;4.57836209980034&lt;/D&gt;&lt;D xsi:type="xsd:double"&gt;4.42576422814875&lt;/D&gt;&lt;D xsi:type="xsd:double"&gt;4.27875947377354&lt;/D&gt;&lt;D xsi:type="xsd:double"&gt;4.27719741252595&lt;/D&gt;&lt;D xsi:type="xsd:double"&gt;4.48827365137536&lt;/D&gt;&lt;D xsi:type="xsd:double"&gt;4.36074409124219&lt;/D&gt;&lt;D xsi:type="xsd:double"&gt;4.69796670387795&lt;/D&gt;&lt;D xsi:type="xsd:double"&gt;4.66798986652715&lt;/D&gt;&lt;D xsi:type="xsd:double"&gt;4.3048182946762&lt;/D&gt;&lt;D xsi:type="xsd:double"&gt;4.47254344877878&lt;/D&gt;&lt;D xsi:type="xsd:double"&gt;4.11865660352158&lt;/D&gt;&lt;D xsi:type="xsd:double"&gt;4.13074173383973&lt;/D&gt;&lt;D xsi:type="xsd:double"&gt;4.41743472541674&lt;/D&gt;&lt;D xsi:type="xsd:double"&gt;4.12173713607818&lt;/D&gt;&lt;D xsi:type="xsd:double"&gt;4.09641318479571&lt;/D&gt;&lt;D xsi:type="xsd:double"&gt;4.06927730980791&lt;/D&gt;&lt;D xsi:type="xsd:double"&gt;4.06425139066032&lt;/D&gt;&lt;D xsi:type="xsd:double"&gt;3.8897041573634&lt;/D&gt;&lt;D xsi:type="xsd:double"&gt;4.32720281406202&lt;/D&gt;&lt;D xsi:type="xsd:double"&gt;4.65246126566064&lt;/D&gt;&lt;D xsi:type="xsd:double"&gt;4.46307294559949&lt;/D&gt;&lt;D xsi:type="xsd:double"&gt;4.21561588640687&lt;/D&gt;&lt;D xsi:type="xsd:double"&gt;3.89234561210106&lt;/D&gt;&lt;D xsi:type="xsd:double"&gt;3.79264676503694&lt;/D&gt;&lt;D xsi:type="xsd:double"&gt;3.6209445139865&lt;/D&gt;&lt;D xsi:type="xsd:double"&gt;3.49044157606435&lt;/D&gt;&lt;D xsi:type="xsd:double"&gt;3.58698263259898&lt;/D&gt;&lt;D xsi:type="xsd:double"&gt;3.7069403704657&lt;/D&gt;&lt;D xsi:type="xsd:double"&gt;3.7083386603628&lt;/D&gt;&lt;D xsi:type="xsd:double"&gt;3.78986400082938&lt;/D&gt;&lt;D xsi:type="xsd:double"&gt;3.84471500820621&lt;/D&gt;&lt;D xsi:type="xsd:double"&gt;3.88295965930224&lt;/D&gt;&lt;D xsi:type="xsd:double"&gt;3.71237044514641&lt;/D&gt;&lt;D xsi:type="xsd:double"&gt;3.8295359963467&lt;/D&gt;&lt;D xsi:type="xsd:double"&gt;3.83751110560509&lt;/D&gt;&lt;D xsi:type="xsd:double"&gt;3.90710235252668&lt;/D&gt;&lt;D xsi:type="xsd:double"&gt;3.87380481032056&lt;/D&gt;&lt;D xsi:type="xsd:double"&gt;4.09515172575273&lt;/D&gt;&lt;D xsi:type="xsd:double"&gt;3.82824437857779&lt;/D&gt;&lt;D xsi:type="xsd:double"&gt;3.83260864503542&lt;/D&gt;&lt;D xsi:type="xsd:double"&gt;3.99637489761264&lt;/D&gt;&lt;D xsi:type="xsd:double"&gt;3.8916209096801&lt;/D&gt;&lt;D xsi:type="xsd:double"&gt;3.97369479813036&lt;/D&gt;&lt;D xsi:type="xsd:double"&gt;3.71905937512898&lt;/D&gt;&lt;D xsi:type="xsd:double"&gt;3.7075596772303&lt;/D&gt;&lt;D xsi:type="xsd:double"&gt;4.16355030891421&lt;/D&gt;&lt;D xsi:type="xsd:double"&gt;4.43126991224355&lt;/D&gt;&lt;D xsi:type="xsd:double"&gt;4.26639382346854&lt;/D&gt;&lt;D xsi:type="xsd:double"&gt;3.64580577756877&lt;/D&gt;&lt;D xsi:type="xsd:double"&gt;3.96432184246976&lt;/D&gt;&lt;D xsi:type="xsd:double"&gt;4.01867758622792&lt;/D&gt;&lt;D xsi:type="xsd:double"&gt;4.1651048316706&lt;/D&gt;&lt;D xsi:type="xsd:double"&gt;4.66100496285981&lt;/D&gt;&lt;D xsi:type="xsd:double"&gt;4.67123226562761&lt;/D&gt;&lt;D xsi:type="xsd:double"&gt;4.69929151085292&lt;/D&gt;&lt;D xsi:type="xsd:double"&gt;5.04109386107177&lt;/D&gt;&lt;D xsi:type="xsd:double"&gt;5.06731389497367&lt;/D&gt;&lt;D xsi:type="xsd:double"&gt;4.63107270456324&lt;/D&gt;&lt;D xsi:type="xsd:double"&gt;4.66085418732496&lt;/D&gt;&lt;D xsi:type="xsd:double"&gt;4.66819178036293&lt;/D&gt;&lt;D xsi:type="xsd:double"&gt;4.52561702338423&lt;/D&gt;&lt;D xsi:type="xsd:double"&gt;4.70517554124538&lt;/D&gt;&lt;D xsi:type="xsd:double"&gt;4.91925410522217&lt;/D&gt;&lt;D xsi:type="xsd:double"&gt;4.82458300564202&lt;/D&gt;&lt;D xsi:type="xsd:double"&gt;4.92524734968052&lt;/D&gt;&lt;D xsi:type="xsd:double"&gt;4.79203290142555&lt;/D&gt;&lt;D xsi:type="xsd:double"&gt;4.81861668669296&lt;/D&gt;&lt;D xsi:type="xsd:double"&gt;4.81895388970048&lt;/D&gt;&lt;D xsi:type="xsd:double"&gt;5.71478226759841&lt;/D&gt;&lt;D xsi:type="xsd:double"&gt;5.78120854826421&lt;/D&gt;&lt;D xsi:type="xsd:double"&gt;5.74677165918233&lt;/D&gt;&lt;D xsi:type="xsd:double"&gt;5.46200258672007&lt;/D&gt;&lt;/FQL&gt;&lt;FQL&gt;&lt;Q&gt;DDR3512M-FDS^FG_PRICE_CHANGE(0,-6AM)&lt;/Q&gt;&lt;R&gt;1&lt;/R&gt;&lt;C&gt;1&lt;/C&gt;&lt;D xsi:type="xsd:double"&gt;-6.78597116707713&lt;/D&gt;&lt;/FQL&gt;&lt;FQL&gt;&lt;Q&gt;PASP-FDS^FG_PRICE_MAVG(0,,,,30)&lt;/Q&gt;&lt;R&gt;1&lt;/R&gt;&lt;C&gt;1&lt;/C&gt;&lt;D xsi:type="xsd:double"&gt;966.06665&lt;/D&gt;&lt;/FQL&gt;&lt;FQL&gt;&lt;Q&gt;CPALM-FDS^FG_PRICE(0)/MAX(FG_PRICE(0,-1AY))&lt;/Q&gt;&lt;R&gt;1&lt;/R&gt;&lt;C&gt;1&lt;/C&gt;&lt;D xsi:type="xsd:double"&gt;0.87639222537672&lt;/D&gt;&lt;/FQL&gt;&lt;FQL&gt;&lt;Q&gt;FC0000BR^FG_PRICE(0)&lt;/Q&gt;&lt;R&gt;1&lt;/R&gt;&lt;C&gt;1&lt;/C&gt;&lt;D xsi:type="xsd:double"&gt;189.46117&lt;/D&gt;&lt;/FQL&gt;&lt;FQL&gt;&lt;Q&gt;SET-BKK^FG_PRICE_MAVG(0,,,,200)&lt;/Q&gt;&lt;R&gt;1&lt;/R&gt;&lt;C&gt;1&lt;/C&gt;&lt;D xsi:type="xsd:double"&gt;1380.093&lt;/D&gt;&lt;/FQL&gt;&lt;FQL&gt;&lt;Q&gt;GREK^FG_PRICE(0)&lt;/Q&gt;&lt;R&gt;1&lt;/R&gt;&lt;C&gt;1&lt;/C&gt;&lt;D xsi:type="xsd:double"&gt;42.28&lt;/D&gt;&lt;/FQL&gt;&lt;FQL&gt;&lt;Q&gt;EWT^FG_PRICE_MAVG(0,,,,30)&lt;/Q&gt;&lt;R&gt;1&lt;/R&gt;&lt;C&gt;1&lt;/C&gt;&lt;D xsi:type="xsd:double"&gt;54.258335&lt;/D&gt;&lt;/FQL&gt;&lt;FQL&gt;&lt;Q&gt;VNM^P_PRICE(0)/P_PRICE_HIGH_PR(0,,,,,,"PRICE","INTRA","52W")&lt;/Q&gt;&lt;R&gt;1&lt;/R&gt;&lt;C&gt;1&lt;/C&gt;&lt;D xsi:type="xsd:double"&gt;0.77021414&lt;/D&gt;&lt;/FQL&gt;&lt;FQL&gt;&lt;Q&gt;TUR^FG_TOTAL_RETURNC(0,-6AM)&lt;/Q&gt;&lt;R&gt;1&lt;/R&gt;&lt;C&gt;1&lt;/C&gt;&lt;D xsi:type="xsd:double"&gt;31.368721&lt;/D&gt;&lt;/FQL&gt;&lt;FQL&gt;&lt;Q&gt;QAT^FG_TOTAL_RETURNC(0,-3AM)&lt;/Q&gt;&lt;R&gt;1&lt;/R&gt;&lt;C&gt;1&lt;/C&gt;&lt;D xsi:type="xsd:double"&gt;1.8745422&lt;/D&gt;&lt;/FQL&gt;&lt;FQL&gt;&lt;Q&gt;EWZ^FG_TOTAL_RETURNC(0,-12AM)&lt;/Q&gt;&lt;R&gt;1&lt;/R&gt;&lt;C&gt;1&lt;/C&gt;&lt;D xsi:type="xsd:double"&gt;-7.144201&lt;/D&gt;&lt;/FQL&gt;&lt;FQL&gt;&lt;Q&gt;EWM^P_PRICE(0)/P_PRICE_LOW_PR(0,,,,,,"PRICE","INTRA","52W")-1&lt;/Q&gt;&lt;R&gt;1&lt;/R&gt;&lt;C&gt;1&lt;/C&gt;&lt;D xsi:type="xsd:double"&gt;0.14736319&lt;/D&gt;&lt;/FQL&gt;&lt;FQL&gt;&lt;Q&gt;CNYA^FG_TOTAL_RETURNC(0,-3AM)&lt;/Q&gt;&lt;R&gt;1&lt;/R&gt;&lt;C&gt;1&lt;/C&gt;&lt;D xsi:type="xsd:double"&gt;-0.8898854&lt;/D&gt;&lt;/FQL&gt;&lt;FQL&gt;&lt;Q&gt;EWW^SIZE(FG_CONSTITUENTS)&lt;/Q&gt;&lt;R&gt;1&lt;/R&gt;&lt;C&gt;1&lt;/C&gt;&lt;D xsi:type="xsd:long"&gt;44&lt;/D&gt;&lt;/FQL&gt;&lt;FQL&gt;&lt;Q&gt;EIDO^SIZE(FG_CONSTITUENTS)&lt;/Q&gt;&lt;R&gt;1&lt;/R&gt;&lt;C&gt;1&lt;/C&gt;&lt;D xsi:type="xsd:long"&gt;72&lt;/D&gt;&lt;/FQL&gt;&lt;FQL&gt;&lt;Q&gt;EWZ^FMA_RBICS_REV_CURRENT(30, LOC, "PORTAGG")&lt;/Q&gt;&lt;R&gt;1&lt;/R&gt;&lt;C&gt;1&lt;/C&gt;&lt;D xsi:type="xsd:double"&gt;26.132781240692&lt;/D&gt;&lt;/FQL&gt;&lt;FQL&gt;&lt;Q&gt;MCHI^FG_ROE(0)&lt;/Q&gt;&lt;R&gt;1&lt;/R&gt;&lt;C&gt;1&lt;/C&gt;&lt;D xsi:type="xsd:double"&gt;10.7401613284734&lt;/D&gt;&lt;/FQL&gt;&lt;FQL&gt;&lt;Q&gt;UAE^FMA_PE(LTM,0,,,"PORTAGG","MEANR")&lt;/Q&gt;&lt;R&gt;1&lt;/R&gt;&lt;C&gt;1&lt;/C&gt;&lt;D xsi:type="xsd:double"&gt;10.3338944614942&lt;/D&gt;&lt;/FQL&gt;&lt;FQL&gt;&lt;Q&gt;QAT^FMA_EVAL_EBITDA(NTMA,0,,,"PORTAGG","MEANR")&lt;/Q&gt;&lt;R&gt;1&lt;/R&gt;&lt;C&gt;1&lt;/C&gt;&lt;D xsi:type="xsd:double"&gt;8.74241429806621&lt;/D&gt;&lt;/FQL&gt;&lt;FQL&gt;&lt;Q&gt;ECH^FMA_PE(LTM,0,,,"PORTAGG","MEANR")&lt;/Q&gt;&lt;R&gt;1&lt;/R&gt;&lt;C&gt;1&lt;/C&gt;&lt;D xsi:type="xsd:double"&gt;13.0709012136777&lt;/D&gt;&lt;/FQL&gt;&lt;FQL&gt;&lt;Q&gt;INDA^FMA_PE(LTM,0,,,"PORTAGG","MEANR")&lt;/Q&gt;&lt;R&gt;1&lt;/R&gt;&lt;C&gt;1&lt;/C&gt;&lt;D xsi:type="xsd:double"&gt;28.076650415509&lt;/D&gt;&lt;/FQL&gt;&lt;FQL&gt;&lt;Q&gt;TUR^FG_FCF_YIELD_NTM(0)&lt;/Q&gt;&lt;R&gt;1&lt;/R&gt;&lt;C&gt;1&lt;/C&gt;&lt;D xsi:type="xsd:double"&gt;6.9503337398499&lt;/D&gt;&lt;/FQL&gt;&lt;FQL&gt;&lt;Q&gt;EWZ^FMA_PE(NTMA,0,,,"PORTAGG","MEANR")&lt;/Q&gt;&lt;R&gt;1&lt;/R&gt;&lt;C&gt;1&lt;/C&gt;&lt;D xsi:type="xsd:double"&gt;7.36033011849273&lt;/D&gt;&lt;/FQL&gt;&lt;FQL&gt;&lt;Q&gt;GREK^FMA_COS_UP("EPS","1M",+1,NOW,,,"PORTAGG","MEANR")&lt;/Q&gt;&lt;R&gt;1&lt;/R&gt;&lt;C&gt;1&lt;/C&gt;&lt;D xsi:type="xsd:double"&gt;4&lt;/D&gt;&lt;/FQL&gt;&lt;FQL&gt;&lt;Q&gt;REFTWDISC-FDS^FG_YIELD(NOW,,,0)&lt;/Q&gt;&lt;R&gt;1&lt;/R&gt;&lt;C&gt;1&lt;/C&gt;&lt;D xsi:type="xsd:double"&gt;2&lt;/D&gt;&lt;/FQL&gt;&lt;FQL&gt;&lt;Q&gt;VGK^FMA_EVAL_EBIT(LTMA,NOW,NOW,M,"PORTAGG","MEANR")&lt;/Q&gt;&lt;R&gt;1&lt;/R&gt;&lt;C&gt;1&lt;/C&gt;&lt;D xsi:type="xsd:double"&gt;13.2913540467443&lt;/D&gt;&lt;/FQL&gt;&lt;FQL&gt;&lt;Q&gt;TRYPL10Y-FDS^FG_YIELD(-10AY,0,Y,,"YTM")&lt;/Q&gt;&lt;R&gt;10&lt;/R&gt;&lt;C&gt;1&lt;/C&gt;&lt;D xsi:type="xsd:double"&gt;2.5048&lt;/D&gt;&lt;D xsi:type="xsd:double"&gt;2.9303&lt;/D&gt;&lt;D xsi:type="xsd:double"&gt;3.6245&lt;/D&gt;&lt;D xsi:type="xsd:double"&gt;3.292&lt;/D&gt;&lt;D xsi:type="xsd:double"&gt;2.8144&lt;/D&gt;&lt;D xsi:type="xsd:double"&gt;2.1086&lt;/D&gt;&lt;D xsi:type="xsd:double"&gt;1.235&lt;/D&gt;&lt;D xsi:type="xsd:double"&gt;3.6216&lt;/D&gt;&lt;D xsi:type="xsd:double"&gt;6.8411&lt;/D&gt;&lt;D xsi:type="xsd:double"&gt;5.1912&lt;/D&gt;&lt;/FQL&gt;&lt;FQL&gt;&lt;Q&gt;USDBRL^FG_PRICE_CHANGE(0,-6AM)&lt;/Q&gt;&lt;R&gt;1&lt;/R&gt;&lt;C&gt;1&lt;/C&gt;&lt;D xsi:type="xsd:double"&gt;12.629986&lt;/D&gt;&lt;/FQL&gt;&lt;FQL&gt;&lt;Q&gt;USDMYR^STD(FG_PRICE_CHANGE(0,-3AY,M))&lt;/Q&gt;&lt;R&gt;1&lt;/R&gt;&lt;C&gt;1&lt;/C&gt;&lt;D xsi:type="xsd:double"&gt;2.20071611614739&lt;/D&gt;&lt;/FQL&gt;&lt;FQL&gt;&lt;Q&gt;QAT^FMA_PE(NTMA,-10AY,0,AM,"PORTAGG","MEANR")&lt;/Q&gt;&lt;R&gt;121&lt;/R&gt;&lt;C&gt;1&lt;/C&gt;&lt;D xsi:type="xsd:double"&gt;15.8135612087406&lt;/D&gt;&lt;D xsi:type="xsd:double"&gt;16.0166888442695&lt;/D&gt;&lt;D xsi:type="xsd:double"&gt;16.1316344992639&lt;/D&gt;&lt;D xsi:type="xsd:double"&gt;14.5630225522606&lt;/D&gt;&lt;D xsi:type="xsd:double"&gt;15.2470704352615&lt;/D&gt;&lt;D xsi:type="xsd:double"&gt;12.3296308546007&lt;/D&gt;&lt;D xsi:type="xsd:double"&gt;13.3506664029115&lt;/D&gt;&lt;D xsi:type="xsd:double"&gt;13.9650993923902&lt;/D&gt;&lt;D xsi:type="xsd:double"&gt;12.8598571933277&lt;/D&gt;&lt;D xsi:type="xsd:double"&gt;13.308492723342&lt;/D&gt;&lt;D xsi:type="xsd:double"&gt;13.6082168635989&lt;/D&gt;&lt;D xsi:type="xsd:double"&gt;13.1115570757653&lt;/D&gt;&lt;D xsi:type="xsd:double"&gt;13.4224668322726&lt;/D&gt;&lt;D xsi:type="xsd:double"&gt;12.813306221039&lt;/D&gt;&lt;D xsi:type="xsd:double"&gt;12.6773699049401&lt;/D&gt;&lt;D xsi:type="xsd:double"&gt;12.8610854349375&lt;/D&gt;&lt;D xsi:type="xsd:double"&gt;11.932748238285&lt;/D&gt;&lt;D xsi:type="xsd:double"&gt;10.1023022231707&lt;/D&gt;&lt;D xsi:type="xsd:double"&gt;9.97829730811638&lt;/D&gt;&lt;D xsi:type="xsd:double"&gt;11.6092799634155&lt;/D&gt;&lt;D xsi:type="xsd:double"&gt;12.1761635537777&lt;/D&gt;&lt;D xsi:type="xsd:double"&gt;12.2493119783406&lt;/D&gt;&lt;D xsi:type="xsd:double"&gt;11.4514753511746&lt;/D&gt;&lt;D xsi:type="xsd:double"&gt;11.6985473208104&lt;/D&gt;&lt;D xsi:type="xsd:double"&gt;12.6244339432914&lt;/D&gt;&lt;D xsi:type="xsd:double"&gt;13.7407005216547&lt;/D&gt;&lt;D xsi:type="xsd:double"&gt;12.329941492598&lt;/D&gt;&lt;D xsi:type="xsd:double"&gt;12.9644645896536&lt;/D&gt;&lt;D xsi:type="xsd:double"&gt;12.1909818873993&lt;/D&gt;&lt;D xsi:type="xsd:double"&gt;12.9565341841887&lt;/D&gt;&lt;D xsi:type="xsd:double"&gt;13.894953069341&lt;/D&gt;&lt;D xsi:type="xsd:double"&gt;13.4409867796861&lt;/D&gt;&lt;D xsi:type="xsd:double"&gt;12.7918310245181&lt;/D&gt;&lt;D xsi:type="xsd:double"&gt;13.0405575523193&lt;/D&gt;&lt;D xsi:type="xsd:double"&gt;13.0186153992954&lt;/D&gt;&lt;D xsi:type="xsd:double"&gt;12.0631230879888&lt;/D&gt;&lt;D xsi:type="xsd:double"&gt;12.4962208675307&lt;/D&gt;&lt;D xsi:type="xsd:double"&gt;12.101783107213&lt;/D&gt;&lt;D xsi:type="xsd:double"&gt;10.7625762442341&lt;/D&gt;&lt;D xsi:type="xsd:double"&gt;10.8354424436138&lt;/D&gt;&lt;D xsi:type="xsd:double"&gt;10.8631341534545&lt;/D&gt;&lt;D xsi:type="xsd:double"&gt;11.894204271819&lt;/D&gt;&lt;D xsi:type="xsd:double"&gt;12.1340224251577&lt;/D&gt;&lt;D xsi:type="xsd:double"&gt;11.6819665172141&lt;/D&gt;&lt;D xsi:type="xsd:double"&gt;11.2944959864368&lt;/D&gt;&lt;D xsi:type="xsd:double"&gt;11.7592470224493&lt;/D&gt;&lt;D xsi:type="xsd:double"&gt;11.2761461153949&lt;/D&gt;&lt;D xsi:type="xsd:double"&gt;11.3674441619742&lt;/D&gt;&lt;D xsi:type="xsd:double"&gt;11.5199828701837&lt;/D&gt;&lt;D xsi:type="xsd:double"&gt;11.9207790361592&lt;/D&gt;&lt;D xsi:type="xsd:double"&gt;12.3251152423948&lt;/D&gt;&lt;D xsi:type="xsd:double"&gt;12.6867234622211&lt;/D&gt;&lt;D xsi:type="xsd:double"&gt;13.0366428934889&lt;/D&gt;&lt;D xsi:type="xsd:double"&gt;13.131784120571&lt;/D&gt;&lt;D xsi:type="xsd:double"&gt;13.5428392907554&lt;/D&gt;&lt;D xsi:type="xsd:double"&gt;12.3779969837185&lt;/D&gt;&lt;D xsi:type="xsd:double"&gt;12.3599643652757&lt;/D&gt;&lt;D xsi:type="xsd:double"&gt;12.9962644744029&lt;/D&gt;&lt;D xsi:type="xsd:double"&gt;12.170677221671&lt;/D&gt;&lt;D xsi:type="xsd:double"&gt;13.1293428217093&lt;/D&gt;&lt;D xsi:type="xsd:double"&gt;13.3146232989519&lt;/D&gt;&lt;D xsi:type="xsd:double"&gt;12.4356127542435&lt;/D&gt;&lt;D xsi:type="xsd:double"&gt;13.4726069667801&lt;/D&gt;&lt;D xsi:type="xsd:double"&gt;13.6425230361022&lt;/D&gt;&lt;D xsi:type="xsd:double"&gt;13.2793826382184&lt;/D&gt;&lt;D xsi:type="xsd:double"&gt;13.714974612385&lt;/D&gt;&lt;D xsi:type="xsd:double"&gt;14.2186545133171&lt;/D&gt;&lt;D xsi:type="xsd:double"&gt;13.1144139919952&lt;/D&gt;&lt;D xsi:type="xsd:double"&gt;11.6833769785835&lt;/D&gt;&lt;D xsi:type="xsd:double"&gt;12.3037472347858&lt;/D&gt;&lt;D xsi:type="xsd:double"&gt;13.8159839904804&lt;/D&gt;&lt;D xsi:type="xsd:double"&gt;14.7251629640878&lt;/D&gt;&lt;D xsi:type="xsd:double"&gt;15.0764675781205&lt;/D&gt;&lt;D xsi:type="xsd:double"&gt;15.711543871366&lt;/D&gt;&lt;D xsi:type="xsd:double"&gt;15.2475068020761&lt;/D&gt;&lt;D xsi:type="xsd:double"&gt;15.3821823309087&lt;/D&gt;&lt;D xsi:type="xsd:double"&gt;14.9800675964743&lt;/D&gt;&lt;D xsi:type="xsd:double"&gt;14.3315133225311&lt;/D&gt;&lt;D xsi:type="xsd:double"&gt;14.3307473262466&lt;/D&gt;&lt;D xsi:type="xsd:double"&gt;13.4570796607586&lt;/D&gt;&lt;D xsi:type="xsd:double"&gt;13.5346605528826&lt;/D&gt;&lt;D xsi:type="xsd:double"&gt;14.0759405503043&lt;/D&gt;&lt;D xsi:type="xsd:double"&gt;13.7746928566113&lt;/D&gt;&lt;D xsi:type="xsd:double"&gt;13.5269807528396&lt;/D&gt;&lt;D xsi:type="xsd:double"&gt;13.0097417534814&lt;/D&gt;&lt;D xsi:type="xsd:double"&gt;13.4513116997931&lt;/D&gt;&lt;D xsi:type="xsd:double"&gt;13.2319191044104&lt;/D&gt;&lt;D xsi:type="xsd:double"&gt;13.492027071309&lt;/D&gt;&lt;D xsi:type="xsd:double"&gt;13.6559788618968&lt;/D&gt;&lt;D xsi:type="xsd:double"&gt;13.1443345649706&lt;/D&gt;&lt;D xsi:type="xsd:double"&gt;13.7076699968521&lt;/D&gt;&lt;D xsi:type="xsd:double"&gt;13.6645929212682&lt;/D&gt;&lt;D xsi:type="xsd:double"&gt;14.1950607397659&lt;/D&gt;&lt;D xsi:type="xsd:double"&gt;14.069987320718&lt;/D&gt;&lt;D xsi:type="xsd:double"&gt;12.676437291</t>
        </r>
      </text>
    </comment>
    <comment ref="A14" authorId="0" shapeId="0" xr:uid="{0A585DF4-9CA8-46B7-8DB2-D64FF328A372}">
      <text>
        <r>
          <rPr>
            <b/>
            <sz val="9"/>
            <color indexed="81"/>
            <rFont val="Tahoma"/>
            <charset val="1"/>
          </rPr>
          <t>8895&lt;/D&gt;&lt;D xsi:type="xsd:double"&gt;12.1075388375578&lt;/D&gt;&lt;D xsi:type="xsd:double"&gt;12.3375507262775&lt;/D&gt;&lt;D xsi:type="xsd:double"&gt;14.231124785113&lt;/D&gt;&lt;D xsi:type="xsd:double"&gt;12.9003225323743&lt;/D&gt;&lt;D xsi:type="xsd:double"&gt;12.5245847743409&lt;/D&gt;&lt;D xsi:type="xsd:double"&gt;12.639232483208&lt;/D&gt;&lt;D xsi:type="xsd:double"&gt;11.5055313799909&lt;/D&gt;&lt;D xsi:type="xsd:double"&gt;11.3601116946174&lt;/D&gt;&lt;D xsi:type="xsd:double"&gt;11.1677464538976&lt;/D&gt;&lt;D xsi:type="xsd:double"&gt;10.4911925378643&lt;/D&gt;&lt;D xsi:type="xsd:double"&gt;10.5950540370439&lt;/D&gt;&lt;D xsi:type="xsd:double"&gt;11.2376527264479&lt;/D&gt;&lt;D xsi:type="xsd:double"&gt;11.231356362982&lt;/D&gt;&lt;D xsi:type="xsd:double"&gt;11.2556362919579&lt;/D&gt;&lt;D xsi:type="xsd:double"&gt;11.3329025335136&lt;/D&gt;&lt;D xsi:type="xsd:double"&gt;10.8898192370552&lt;/D&gt;&lt;D xsi:type="xsd:double"&gt;10.3194161312259&lt;/D&gt;&lt;D xsi:type="xsd:double"&gt;10.7528516656098&lt;/D&gt;&lt;D xsi:type="xsd:double"&gt;10.4699801534643&lt;/D&gt;&lt;D xsi:type="xsd:double"&gt;10.7300395607776&lt;/D&gt;&lt;D xsi:type="xsd:double"&gt;10.5547570925604&lt;/D&gt;&lt;D xsi:type="xsd:double"&gt;10.536794125718&lt;/D&gt;&lt;D xsi:type="xsd:double"&gt;10.0463926059051&lt;/D&gt;&lt;D xsi:type="xsd:double"&gt;9.93466846675838&lt;/D&gt;&lt;D xsi:type="xsd:double"&gt;9.85442775829632&lt;/D&gt;&lt;D xsi:type="xsd:double"&gt;10.4058083564645&lt;/D&gt;&lt;/FQL&gt;&lt;FQL&gt;&lt;Q&gt;TUR^FMA_PE(LTMA,-10AY,0,AM,"PORTAGG","MEANR")&lt;/Q&gt;&lt;R&gt;121&lt;/R&gt;&lt;C&gt;1&lt;/C&gt;&lt;D xsi:type="xsd:double"&gt;10.7556040256946&lt;/D&gt;&lt;D xsi:type="xsd:double"&gt;10.5806938900316&lt;/D&gt;&lt;D xsi:type="xsd:double"&gt;10.476146482785&lt;/D&gt;&lt;D xsi:type="xsd:double"&gt;10.4004087720125&lt;/D&gt;&lt;D xsi:type="xsd:double"&gt;11.198411661017&lt;/D&gt;&lt;D xsi:type="xsd:double"&gt;11.4919765673879&lt;/D&gt;&lt;D xsi:type="xsd:double"&gt;12.1369073121561&lt;/D&gt;&lt;D xsi:type="xsd:double"&gt;12.2499957171694&lt;/D&gt;&lt;D xsi:type="xsd:double"&gt;11.7914284967203&lt;/D&gt;&lt;D xsi:type="xsd:double"&gt;11.6942712353265&lt;/D&gt;&lt;D xsi:type="xsd:double"&gt;11.9580125903696&lt;/D&gt;&lt;D xsi:type="xsd:double"&gt;11.5892266633289&lt;/D&gt;&lt;D xsi:type="xsd:double"&gt;11.4996496795064&lt;/D&gt;&lt;D xsi:type="xsd:double"&gt;10.7691849275053&lt;/D&gt;&lt;D xsi:type="xsd:double"&gt;10.6624499311918&lt;/D&gt;&lt;D xsi:type="xsd:double"&gt;11.099039183975&lt;/D&gt;&lt;D xsi:type="xsd:double"&gt;11.2822290696697&lt;/D&gt;&lt;D xsi:type="xsd:double"&gt;9.99622692082334&lt;/D&gt;&lt;D xsi:type="xsd:double"&gt;9.57770686911334&lt;/D&gt;&lt;D xsi:type="xsd:double"&gt;9.54259338031482&lt;/D&gt;&lt;D xsi:type="xsd:double"&gt;9.87324968359107&lt;/D&gt;&lt;D xsi:type="xsd:double"&gt;9.91697776702818&lt;/D&gt;&lt;D xsi:type="xsd:double"&gt;9.56456504903879&lt;/D&gt;&lt;D xsi:type="xsd:double"&gt;9.4003335441376&lt;/D&gt;&lt;D xsi:type="xsd:double"&gt;9.36169344239094&lt;/D&gt;&lt;D xsi:type="xsd:double"&gt;9.53855310986375&lt;/D&gt;&lt;D xsi:type="xsd:double"&gt;9.50037883464272&lt;/D&gt;&lt;D xsi:type="xsd:double"&gt;9.46375672517657&lt;/D&gt;&lt;D xsi:type="xsd:double"&gt;8.97706567035386&lt;/D&gt;&lt;D xsi:type="xsd:double"&gt;8.92463056739265&lt;/D&gt;&lt;D xsi:type="xsd:double"&gt;9.30706284908908&lt;/D&gt;&lt;D xsi:type="xsd:double"&gt;10.0518872123403&lt;/D&gt;&lt;D xsi:type="xsd:double"&gt;9.84499741559439&lt;/D&gt;&lt;D xsi:type="xsd:double"&gt;9.70746988016349&lt;/D&gt;&lt;D xsi:type="xsd:double"&gt;9.70250789185211&lt;/D&gt;&lt;D xsi:type="xsd:double"&gt;9.69428246017876&lt;/D&gt;&lt;D xsi:type="xsd:double"&gt;9.84724103010274&lt;/D&gt;&lt;D xsi:type="xsd:double"&gt;9.49050807802057&lt;/D&gt;&lt;D xsi:type="xsd:double"&gt;9.22664593169013&lt;/D&gt;&lt;D xsi:type="xsd:double"&gt;9.22802632951873&lt;/D&gt;&lt;D xsi:type="xsd:double"&gt;8.87312362116291&lt;/D&gt;&lt;D xsi:type="xsd:double"&gt;8.75487558175575&lt;/D&gt;&lt;D xsi:type="xsd:double"&gt;8.93517479696829&lt;/D&gt;&lt;D xsi:type="xsd:double"&gt;9.08109711466462&lt;/D&gt;&lt;D xsi:type="xsd:double"&gt;9.10426313307389&lt;/D&gt;&lt;D xsi:type="xsd:double"&gt;8.91162933914156&lt;/D&gt;&lt;D xsi:type="xsd:double"&gt;8.52414530250322&lt;/D&gt;&lt;D xsi:type="xsd:double"&gt;8.12356174545331&lt;/D&gt;&lt;D xsi:type="xsd:double"&gt;7.79446131096104&lt;/D&gt;&lt;D xsi:type="xsd:double"&gt;7.36379810236724&lt;/D&gt;&lt;D xsi:type="xsd:double"&gt;7.56319167093035&lt;/D&gt;&lt;D xsi:type="xsd:double"&gt;7.40518917722018&lt;/D&gt;&lt;D xsi:type="xsd:double"&gt;6.94037565960308&lt;/D&gt;&lt;D xsi:type="xsd:double"&gt;6.69321309189195&lt;/D&gt;&lt;D xsi:type="xsd:double"&gt;7.13176287036923&lt;/D&gt;&lt;D xsi:type="xsd:double"&gt;7.24080472174143&lt;/D&gt;&lt;D xsi:type="xsd:double"&gt;7.48284489025492&lt;/D&gt;&lt;D xsi:type="xsd:double"&gt;7.23709283046403&lt;/D&gt;&lt;D xsi:type="xsd:double"&gt;6.95084271763806&lt;/D&gt;&lt;D xsi:type="xsd:double"&gt;7.2477560934075&lt;/D&gt;&lt;D xsi:type="xsd:double"&gt;7.54045075367446&lt;/D&gt;&lt;D xsi:type="xsd:double"&gt;7.41248054317891&lt;/D&gt;&lt;D xsi:type="xsd:double"&gt;7.63484808146866&lt;/D&gt;&lt;D xsi:type="xsd:double"&gt;7.54716596033597&lt;/D&gt;&lt;D xsi:type="xsd:double"&gt;8.34649200655296&lt;/D&gt;&lt;D xsi:type="xsd:double"&gt;8.82379463848942&lt;/D&gt;&lt;D xsi:type="xsd:double"&gt;9.53087435231232&lt;/D&gt;&lt;D xsi:type="xsd:double"&gt;9.03506827239566&lt;/D&gt;&lt;D xsi:type="xsd:double"&gt;7.74482606888997&lt;/D&gt;&lt;D xsi:type="xsd:double"&gt;7.82160302286373&lt;/D&gt;&lt;D xsi:type="xsd:double"&gt;8.36892891033527&lt;/D&gt;&lt;D xsi:type="xsd:double"&gt;9.32421867098642&lt;/D&gt;&lt;D xsi:type="xsd:double"&gt;9.69855776814369&lt;/D&gt;&lt;D xsi:type="xsd:double"&gt;9.97188499108289&lt;/D&gt;&lt;D xsi:type="xsd:double"&gt;10.1096425396033&lt;/D&gt;&lt;D xsi:type="xsd:double"&gt;11.2056082341614&lt;/D&gt;&lt;D xsi:type="xsd:double"&gt;12.9663565515352&lt;/D&gt;&lt;D xsi:type="xsd:double"&gt;12.8337141635483&lt;/D&gt;&lt;D xsi:type="xsd:double"&gt;13.8267293939435&lt;/D&gt;&lt;D xsi:type="xsd:double"&gt;12.2331019420694&lt;/D&gt;&lt;D xsi:type="xsd:double"&gt;11.3502975244853&lt;/D&gt;&lt;D xsi:type="xsd:double"&gt;10.6486919918563&lt;/D&gt;&lt;D xsi:type="xsd:double"&gt;10.2655648899802&lt;/D&gt;&lt;D xsi:type="xsd:double"&gt;9.59984067290872&lt;/D&gt;&lt;D xsi:type="xsd:double"&gt;8.93572087033429&lt;/D&gt;&lt;D xsi:type="xsd:double"&gt;8.3174660653012&lt;/D&gt;&lt;D xsi:type="xsd:double"&gt;7.76543609936519&lt;/D&gt;&lt;D xsi:type="xsd:double"&gt;7.06870067594686&lt;/D&gt;&lt;D xsi:type="xsd:double"&gt;7.26526515379886&lt;/D&gt;&lt;D xsi:type="xsd:double"&gt;7.79242914116463&lt;/D&gt;&lt;D xsi:type="xsd:double"&gt;7.00380134283022&lt;/D&gt;&lt;D xsi:type="xsd:double"&gt;6.11279653693251&lt;/D&gt;&lt;D xsi:type="xsd:double"&gt;5.76179904261295&lt;/D&gt;&lt;D xsi:type="xsd:double"&gt;5.81897407504565&lt;/D&gt;&lt;D xsi:type="xsd:double"&gt;5.42959512062362&lt;/D&gt;&lt;D xsi:type="xsd:double"&gt;5.53229750345601&lt;/D&gt;&lt;D xsi:type="xsd:double"&gt;5.19324078549889&lt;/D&gt;&lt;D xsi:type="xsd:double"&gt;4.953070431127&lt;/D&gt;&lt;D xsi:type="xsd:double"&gt;4.69041022224335&lt;/D&gt;&lt;D xsi:type="xsd:double"&gt;4.88939513533946&lt;/D&gt;&lt;D xsi:type="xsd:double"&gt;4.9445778004335&lt;/D&gt;&lt;D xsi:type="xsd:double"&gt;5.17871853094028&lt;/D&gt;&lt;D xsi:type="xsd:double"&gt;5.24002071383248&lt;/D&gt;&lt;D xsi:type="xsd:double"&gt;4.56531012677177&lt;/D&gt;&lt;D xsi:type="xsd:double"&gt;4.71962078054868&lt;/D&gt;&lt;D xsi:type="xsd:double"&gt;4.69397880210802&lt;/D&gt;&lt;D xsi:type="xsd:double"&gt;4.47521428240424&lt;/D&gt;&lt;D xsi:type="xsd:double"&gt;4.8920828905051&lt;/D&gt;&lt;D xsi:type="xsd:double"&gt;5.47332189203396&lt;/D&gt;&lt;D xsi:type="xsd:double"&gt;6.04690991839639&lt;/D&gt;&lt;D xsi:type="xsd:double"&gt;6.15192016747502&lt;/D&gt;&lt;D xsi:type="xsd:double"&gt;6.18635020846203&lt;/D&gt;&lt;D xsi:type="xsd:double"&gt;5.66966643508039&lt;/D&gt;&lt;D xsi:type="xsd:double"&gt;5.57511411631133&lt;/D&gt;&lt;D xsi:type="xsd:double"&gt;5.78564446225739&lt;/D&gt;&lt;D xsi:type="xsd:double"&gt;6.74277943772088&lt;/D&gt;&lt;D xsi:type="xsd:double"&gt;6.52576037388403&lt;/D&gt;&lt;D xsi:type="xsd:double"&gt;6.58503414502896&lt;/D&gt;&lt;D xsi:type="xsd:double"&gt;6.75425460922632&lt;/D&gt;&lt;D xsi:type="xsd:double"&gt;6.79585020728636&lt;/D&gt;&lt;D xsi:type="xsd:double"&gt;7.15328925169225&lt;/D&gt;&lt;/FQL&gt;&lt;FQL&gt;&lt;Q&gt;BRENT-FDS^FG_PRICE_CHANGE(0,-1AM)&lt;/Q&gt;&lt;R&gt;1&lt;/R&gt;&lt;C&gt;1&lt;/C&gt;&lt;D xsi:type="xsd:double"&gt;0&lt;/D&gt;&lt;/FQL&gt;&lt;FQL&gt;&lt;Q&gt;FC0000PE^FG_PRICE(0)&lt;/Q&gt;&lt;R&gt;1&lt;/R&gt;&lt;C&gt;1&lt;/C&gt;&lt;D xsi:type="xsd:double"&gt;819.08&lt;/D&gt;&lt;/FQL&gt;&lt;FQL&gt;&lt;Q&gt;EWT^FG_PRICE(0)&lt;/Q&gt;&lt;R&gt;1&lt;/R&gt;&lt;C&gt;1&lt;/C&gt;&lt;D xsi:type="xsd:double"&gt;53.14&lt;/D&gt;&lt;/FQL&gt;&lt;FQL&gt;&lt;Q&gt;EIDO^FG_PRICE_MAVG(0,,,,30)&lt;/Q&gt;&lt;R&gt;1&lt;/R&gt;&lt;C&gt;1&lt;/C&gt;&lt;D xsi:type="xsd:double"&gt;19.428667&lt;/D&gt;&lt;/FQL&gt;&lt;FQL&gt;&lt;Q&gt;INDA^PERCENT_CHANGE(FMA_EPS(+1,0,,,,"PORTAGG","MEAN"),FMA_EPS(+1,-3AM,,,,"PORTAGG","MEAN"))&lt;/Q&gt;&lt;R&gt;1&lt;/R&gt;&lt;C&gt;1&lt;/C&gt;&lt;D xsi:type="xsd:double"&gt;-1.45301317072069&lt;/D&gt;&lt;/FQL&gt;&lt;FQL&gt;&lt;Q&gt;EWW^P_PRICE(0)/P_PRICE_LOW_PR(0,,,,,,"PRICE","INTRA","52W")-1&lt;/Q&gt;&lt;R&gt;1&lt;/R&gt;&lt;C&gt;1&lt;/C&gt;&lt;D xsi:type="xsd:double"&gt;0.117483616&lt;/D&gt;&lt;/FQL&gt;&lt;FQL&gt;&lt;Q&gt;EPOL^P_PRICE(0)/P_PRICE_HIGH_PR(0,,,,,,"PRICE","INTRA","52W")&lt;/Q&gt;&lt;R&gt;1&lt;/R&gt;&lt;C&gt;1&lt;/C&gt;&lt;D xsi:type="xsd:double"&gt;0.9348409&lt;/D&gt;&lt;/FQL&gt;&lt;FQL&gt;&lt;Q&gt;EIDO^FG_TOTAL_RETURNC(0,-6AM)&lt;/Q&gt;&lt;R&gt;1&lt;/R&gt;&lt;C&gt;1&lt;/C&gt;&lt;D xsi:type="xsd:double"&gt;-5.8987436&lt;/D&gt;&lt;/FQL&gt;&lt;FQL&gt;&lt;Q&gt;VWO^FG_TOTAL_RETURNC(0,-6AM)&lt;/Q&gt;&lt;R&gt;1&lt;/R&gt;&lt;C&gt;1&lt;/C&gt;&lt;D xsi:type="xsd:double"&gt;11.383141&lt;/D&gt;&lt;/FQL&gt;&lt;FQL&gt;&lt;Q&gt;VGK^PERCENT_CHANGE(FMA_EPS(+1,0,,,,"PORTAGG","MEAN"),FMA_EPS(+1,-3AM,,,,"PORTAGG","MEAN"))&lt;/Q&gt;&lt;R&gt;1&lt;/R&gt;&lt;C&gt;1&lt;/C&gt;&lt;D xsi:type="xsd:double"&gt;3.25392176699266&lt;/D&gt;&lt;/FQL&gt;&lt;FQL&gt;&lt;Q&gt;KSA^SIZE(FG_CONSTITUENTS)&lt;/Q&gt;&lt;R&gt;1&lt;/R&gt;&lt;C&gt;1&lt;/C&gt;&lt;D xsi:type="xsd:long"&gt;124&lt;/D&gt;&lt;/FQL&gt;&lt;FQL&gt;&lt;Q&gt;MCHI^SIZE(FG_CONSTITUENTS)&lt;/Q&gt;&lt;R&gt;1&lt;/R&gt;&lt;C&gt;1&lt;/C&gt;&lt;D xsi:type="xsd:long"&gt;651&lt;/D&gt;&lt;/FQL&gt;&lt;FQL&gt;&lt;Q&gt;INDA^FG_ROE(0)&lt;/Q&gt;&lt;R&gt;1&lt;/R&gt;&lt;C&gt;1&lt;/C&gt;&lt;D xsi:type="xsd:double"&gt;15.3132121640354&lt;/D&gt;&lt;/FQL&gt;&lt;FQL&gt;&lt;Q&gt;REFQALEND-FDS^FG_YIELD(NOW,,,0)&lt;/Q&gt;&lt;R&gt;1&lt;/R&gt;&lt;C&gt;1&lt;/C&gt;&lt;D xsi:type="xsd:double"&gt;6.25&lt;/D&gt;&lt;/FQL&gt;&lt;FQL&gt;&lt;Q&gt;REFKRBASE-FDS^(SUBARRAY(NOT_NA(NO_REPEAT_F(FG_YIELD(NOW,-10AY,D))),0,1)-SUBARRAY(NOT_NA(NO_REPEAT_F(FG_YIELD(NOW,-10AY,D))),1,1))*100&lt;/Q&gt;&lt;R&gt;1&lt;/R&gt;&lt;C&gt;1&lt;/C&gt;&lt;D xsi:type="xsd:double"&gt;25&lt;/D&gt;&lt;/FQL&gt;&lt;FQL&gt;&lt;Q&gt;REFPL7D-FDS^PROPER_NAME(0,,,"SECURITY","NAME")&lt;/Q&gt;&lt;R&gt;1&lt;/R&gt;&lt;C&gt;1&lt;/C&gt;&lt;D xsi:type="xsd:string"&gt;Poland Reference Rate - 7 Day&lt;/D&gt;&lt;/FQL&gt;&lt;FQL&gt;&lt;Q&gt;TRYAE10Y-FDS^PCTCHG(FG_YIELD(0,,,,"YTM"),FG_YIELD(-3AM,,,,"YTM"))&lt;/Q&gt;&lt;R&gt;0&lt;/R&gt;&lt;C&gt;0&lt;/C&gt;&lt;/FQL&gt;&lt;FQL&gt;&lt;Q&gt;TRYBR10Y-FDS^PCTCHG(FG_YIELD(0,,,,"YTM"),FG_YIELD(-1AM,,,,"YTM"))&lt;/Q&gt;&lt;R&gt;1&lt;/R&gt;&lt;C&gt;1&lt;/C&gt;&lt;D xsi:type="xsd:double"&gt;0.3967208&lt;/D&gt;&lt;/FQL&gt;&lt;FQL&gt;&lt;Q&gt;TIPSCL10Y-FDS^PCTCHG(FG_YIELD(0,,,,"YTM"),FG_YIELD(-3AM,,,,"YTM"))&lt;/Q&gt;&lt;R&gt;1&lt;/R&gt;&lt;C&gt;1&lt;/C&gt;&lt;D xsi:type="xsd:double"&gt;2.4141195&lt;/D&gt;&lt;/FQL&gt;&lt;FQL&gt;&lt;Q&gt;TRYQA10Y-FDS^FG_YIELD_NAME&lt;/Q&gt;&lt;R&gt;1&lt;/R&gt;&lt;C&gt;1&lt;/C&gt;&lt;D xsi:type="xsd:string"&gt;Treasury - Qatar Benchmark Bond 10Y&lt;/D&gt;&lt;/FQL&gt;&lt;FQL&gt;&lt;Q&gt;TRYMY10Y-FDS^FG_YIELD(0,,,,"YTM")&lt;/Q&gt;&lt;R&gt;1&lt;/R&gt;&lt;C&gt;1&lt;/C&gt;&lt;D xsi:type="xsd:double"&gt;3.807254&lt;/D&gt;&lt;/FQL&gt;&lt;FQL&gt;&lt;Q&gt;CC_TR^IMF_IFS_RCPI_Q(0)&lt;/Q&gt;&lt;R&gt;0&lt;/R&gt;&lt;C&gt;0&lt;/C&gt;&lt;/FQL&gt;&lt;FQL&gt;&lt;Q&gt;CC_CN^IMF_IFS_RCPI_Q(0)&lt;/Q&gt;&lt;R&gt;0&lt;/R&gt;&lt;C&gt;0&lt;/C&gt;&lt;/FQL&gt;&lt;FQL&gt;&lt;Q&gt;KSA^FG_FCF_YIELD_NTM(0)&lt;/Q&gt;&lt;R&gt;0&lt;/R&gt;&lt;C&gt;0&lt;/C&gt;&lt;/FQL&gt;&lt;FQL&gt;&lt;Q&gt;QAT^FG_FCF_YIELD_NTM(0)&lt;/Q&gt;&lt;R&gt;0&lt;/R&gt;&lt;C&gt;0&lt;/C&gt;&lt;/FQL&gt;&lt;FQL&gt;&lt;Q&gt;EWZ^FMA_EVAL_EBITDA(NTMA,0,,,"PORTAGG","MEANR")&lt;/Q&gt;&lt;R&gt;1&lt;/R&gt;&lt;C&gt;1&lt;/C&gt;&lt;D xsi:type="xsd:double"&gt;4.60674175498877&lt;/D&gt;&lt;/FQL&gt;&lt;FQL&gt;&lt;Q&gt;EWW^FMA_PE(NTMA,0,,,"PORTAGG","MEANR")&lt;/Q&gt;&lt;R&gt;1&lt;/R&gt;&lt;C&gt;1&lt;/C&gt;&lt;D xsi:type="xsd:double"&gt;11.4817905821399&lt;/D&gt;&lt;/FQL&gt;&lt;FQL&gt;&lt;Q&gt;EPU^FMA_EVAL_EBIT(LTMA,NOW,NOW,M,"PORTAGG","MEANR")&lt;/Q&gt;&lt;R&gt;1&lt;/R&gt;&lt;C&gt;1&lt;/C&gt;&lt;D xsi:type="xsd:double"&gt;12.4680499889226&lt;/D&gt;&lt;/FQL&gt;&lt;FQL&gt;&lt;Q&gt;EPHE^FMA_DIV_YLD(NTMA,NOW,NOW,M,"PORTAGG","MEANR")&lt;/Q&gt;&lt;R&gt;1&lt;/R&gt;&lt;C&gt;1&lt;/C&gt;&lt;D xsi:type="xsd:double"&gt;3.30354637852587&lt;/D&gt;&lt;/FQL&gt;&lt;FQL&gt;&lt;Q&gt;INDA^FG_COMPANY_NAME&lt;/Q&gt;&lt;R&gt;1&lt;/R&gt;&lt;C&gt;1&lt;/C&gt;&lt;D xsi:type="xsd:string"&gt;iShares MSCI India ETF&lt;/D&gt;&lt;/FQL&gt;&lt;FQL&gt;&lt;Q&gt;UAE^JULIAN(FMA_DIV_YLD(NTMA,NOW,NOW,M,"PORTAGG","MEANR").DATES)&lt;/Q&gt;&lt;R&gt;1&lt;/R&gt;&lt;C&gt;1&lt;/C&gt;&lt;D xsi:type="xsd:long"&gt;45471&lt;/D&gt;&lt;/FQL&gt;&lt;FQL&gt;&lt;Q&gt;EPHE^JULIAN(FMA_DIV_YLD(NTMA,NOW,NOW,M,"PORTAGG","MEANR").DATES)&lt;/Q&gt;&lt;R&gt;1&lt;/R&gt;&lt;C&gt;1&lt;/C&gt;&lt;D xsi:type="xsd:long"&gt;45471&lt;/D&gt;&lt;/FQL&gt;&lt;FQL&gt;&lt;Q&gt;TRYMY10Y-FDS^PCTCHG(FG_YIELD(0,,,,"YTM"),FG_YIELD(-3AM,,,,"YTM"))&lt;/Q&gt;&lt;R&gt;1&lt;/R&gt;&lt;C&gt;1&lt;/C&gt;&lt;D xsi:type="xsd:double"&gt;-4.231417&lt;/D&gt;&lt;/FQL&gt;&lt;FQL&gt;&lt;Q&gt;EWM^FG_ROE(0)&lt;/Q&gt;&lt;R&gt;1&lt;/R&gt;&lt;C&gt;1&lt;/C&gt;&lt;D xsi:type="xsd:double"&gt;8.18856988916425&lt;/D&gt;&lt;/FQL&gt;&lt;FQL&gt;&lt;Q&gt;USDAED^FG_PRICE_CHANGE(0,-1AY)&lt;/Q&gt;&lt;R&gt;1&lt;/R&gt;&lt;C&gt;1&lt;/C&gt;&lt;D xsi:type="xsd:double"&gt;-0.0013589859&lt;/D&gt;&lt;/FQL&gt;&lt;FQL&gt;&lt;Q&gt;USDPHP^FG_PRICE_CHANGE(0,-6AM)&lt;/Q&gt;&lt;R&gt;1&lt;/R&gt;&lt;C&gt;1&lt;/C&gt;&lt;D xsi:type="xsd:double"&gt;4.299259&lt;/D&gt;&lt;/FQL&gt;&lt;FQL&gt;&lt;Q&gt;TUR^P_PRICE_RETURNS_PR('52W',2,-10AY,0,AM)&lt;/Q&gt;&lt;R&gt;121&lt;/R&gt;&lt;C&gt;1&lt;/C&gt;&lt;D xsi:type="xsd:double"&gt;-1.7637253&lt;/D&gt;&lt;D xsi:type="xsd:double"&gt;1.656878&lt;/D&gt;&lt;D xsi:type="xsd:double"&gt;-15.0176525&lt;/D&gt;&lt;D xsi:type="xsd:double"&gt;-13.806337&lt;/D&gt;&lt;D xsi:type="xsd:double"&gt;0.4448533&lt;/D&gt;&lt;D xsi:type="xsd:double"&gt;8.253336&lt;/D&gt;&lt;D xsi:type="xsd:double"&gt;25.65378&lt;/D&gt;&lt;D xsi:type="xsd:double"&gt;23.247646&lt;/D&gt;&lt;D xsi:type="xsd:double"&gt;7.795179&lt;/D&gt;&lt;D xsi:type="xsd:double"&gt;-10.767567&lt;/D&gt;&lt;D xsi:type="xsd:double"&gt;-4.423255&lt;/D&gt;&lt;D xsi:type="xsd:double"&gt;-16.875208&lt;/D&gt;&lt;D xsi:type="xsd:double"&gt;-16.17617&lt;/D&gt;&lt;D xsi:type="xsd:double"&gt;-29.16655&lt;/D&gt;&lt;D xsi:type="xsd:double"&gt;-28.5402&lt;/D&gt;&lt;D xsi:type="xsd:double"&gt;-17.294025&lt;/D&gt;&lt;D xsi:type="xsd:double"&gt;-21.390062&lt;/D&gt;&lt;D xsi:type="xsd:double"&gt;-29.564167&lt;/D&gt;&lt;D xsi:type="xsd:double"&gt;-37.867855&lt;/D&gt;&lt;D xsi:type="xsd:double"&gt;-28.059864&lt;/D&gt;&lt;D xsi:type="xsd:double"&gt;-5.589634&lt;/D&gt;&lt;D xsi:type="xsd:double"&gt;1.8446326&lt;/D&gt;&lt;D xsi:type="xsd:double"&gt;-23.760855&lt;/D&gt;&lt;D xsi:type="xsd:double"&gt;-11.526084&lt;/D&gt;&lt;D xsi:type="xsd:double"&gt;-18.142574&lt;/D&gt;&lt;D xsi:type="xsd:double"&gt;6.6800714&lt;/D&gt;&lt;D xsi:type="xsd:double"&gt;8.230162&lt;/D&gt;&lt;D xsi:type="xsd:double"&gt;-3.4727395&lt;/D&gt;&lt;D xsi:type="xsd:double"&gt;-19.775217&lt;/D&gt;&lt;D xsi:type="xsd:double"&gt;-11.427098&lt;/D&gt;&lt;D xsi:type="xsd:double"&gt;-5.641073&lt;/D&gt;&lt;D xsi:type="xsd:double"&gt;1.1419535&lt;/D&gt;&lt;D xsi:type="xsd:double"&gt;-12.337875&lt;/D&gt;&lt;D xsi:type="xsd:double"&gt;-18.660105&lt;/D&gt;&lt;D xsi:type="xsd:double"&gt;7.8531384&lt;/D&gt;&lt;D xsi:type="xsd:double"&gt;10.227001&lt;/D&gt;&lt;D xsi:type="xsd:double"&gt;23.497986&lt;/D&gt;&lt;D xsi:type="xsd:double"&gt;14.423466&lt;/D&gt;&lt;D xsi:type="xsd:double"&gt;16.207754&lt;/D&gt;&lt;D xsi:type="xsd:double"&gt;14.830875&lt;/D&gt;&lt;D xsi:type="xsd:double"&gt;24.003458&lt;/D&gt;&lt;D xsi:type="xsd:double"&gt;32.161903&lt;/D&gt;&lt;D xsi:type="xsd:double"&gt;42.318546&lt;/D&gt;&lt;D xsi:type="xsd:double"&gt;31.068539&lt;/D&gt;&lt;D xsi:type="xsd:double"&gt;17.795313&lt;/D&gt;&lt;D xsi:type="xsd:double"&gt;13.262463&lt;/D&gt;&lt;D xsi:type="xsd:double"&gt;-12.008029&lt;/D&gt;&lt;D xsi:type="xsd:double"&gt;-27.664667&lt;/D&gt;&lt;D xsi:type="xsd:double"&gt;-35.893665&lt;/D&gt;&lt;D xsi:type="xsd:double"&gt;-49.54621&lt;/D&gt;&lt;D xsi:type="xsd:double"&gt;-46.87481&lt;/D&gt;&lt;D xsi:type="xsd:double"&gt;-40.448982&lt;/D&gt;&lt;D xsi:type="xsd:double"&gt;-33.20926&lt;/D&gt;&lt;D xsi:type="xsd:double"&gt;-37.847527&lt;/D&gt;&lt;D xsi:type="xsd:double"&gt;-37.549347&lt;/D&gt;&lt;D xsi:type="xsd:double"&gt;-36.1058&lt;/D&gt;&lt;D xsi:type="xsd:double"&gt;-32.45846&lt;/D&gt;&lt;D xsi:type="xsd:double"&gt;-38.789867&lt;/D&gt;&lt;D xsi:type="xsd:double"&gt;-35.53647&lt;/D&gt;&lt;D xsi:type="xsd:double"&gt;-15.446925&lt;/D&gt;&lt;D xsi:type="xsd:double"&gt;-4.0791035&lt;/D&gt;&lt;D xsi:type="xsd:double"&gt;17.618502&lt;/D&gt;&lt;D xsi:type="xsd:double"&gt;15.825224&lt;/D&gt;&lt;D xsi:type="xsd:double"&gt;1.3209224&lt;/D&gt;&lt;D xsi:type="xsd:double"&gt;9.432137&lt;/D&gt;&lt;D xsi:type="xsd:double"&gt;10.811925&lt;/D&gt;&lt;D xsi:type="xsd:double"&gt;15.164447&lt;/D&gt;&lt;D xsi:type="xsd:double"&gt;2.4988055&lt;/D&gt;&lt;D xsi:type="xsd:double"&gt;-31.211489&lt;/D&gt;&lt;D xsi:type="xsd:double"&gt;-15.3873625&lt;/D&gt;&lt;D xsi:type="xsd:double"&gt;5.368221&lt;/D&gt;&lt;D xsi:type="xsd:double"&gt;-1.9114554&lt;/D&gt;&lt;D xsi:type="xsd:double"&gt;-3.9778411&lt;/D&gt;&lt;D xsi:type="xsd:double"&gt;-11.575079&lt;/D&gt;&lt;D xsi:type="xsd:double"&gt;-21.160507&lt;/D&gt;&lt;D xsi:type="xsd:double"&gt;-14.805275&lt;/D&gt;&lt;D xsi:type="xsd:double"&gt;-11.103374&lt;/D&gt;&lt;D xsi:type="xsd:double"&gt;-4.780555&lt;/D&gt;&lt;D xsi:type="xsd:double"&gt;-3.6649704&lt;/D&gt;&lt;D xsi:type="xsd:double"&gt;9.846854&lt;/D&gt;&lt;D xsi:type="xsd:double"&gt;58.933796&lt;/D&gt;&lt;D xsi:type="xsd:double"&gt;16.499603&lt;/D&gt;&lt;D xsi:type="xsd:double"&gt;13.592577&lt;/D&gt;&lt;D xsi:type="xsd:double"&gt;-2.3123622&lt;/D&gt;&lt;D xsi:type="xsd:double"&gt;-8.420706&lt;/D&gt;&lt;D xsi:type="xsd:double"&gt;10.904062&lt;/D&gt;&lt;D xsi:type="xsd:double"&gt;14.418888&lt;/D&gt;&lt;D xsi:type="xsd:double"&gt;5.031419&lt;/D&gt;&lt;D xsi:type="xsd:double"&gt;-8.066064&lt;/D&gt;&lt;D xsi:type="xsd:double"&gt;-27.646996&lt;/D&gt;&lt;D xsi:type="xsd:double"&gt;-23.556911&lt;/D&gt;&lt;D xsi:type="xsd:double"&gt;-30.1413&lt;/D&gt;&lt;D xsi:type="xsd:double"&gt;-28.88006&lt;/D&gt;&lt;D xsi:type="xsd:double"&gt;4.858756&lt;/D&gt;&lt;D xsi:type="xsd:double"&gt;-10.209065&lt;/D&gt;&lt;D xsi:type="xsd:double"&gt;-9.190816&lt;/D&gt;&lt;D xsi:type="xsd:double"&gt;-7.368273&lt;/D&gt;&lt;D xsi:type="xsd:double"&gt;-1.037252&lt;/D&gt;&lt;D xsi:type="xsd:double"&gt;6.3148856&lt;/D&gt;&lt;D xsi:type="xsd:double"&gt;34.29632&lt;/D&gt;&lt;D xsi:type="xsd:double"&gt;44.894363&lt;/D&gt;&lt;D xsi:type="xsd:double"&gt;119.749306&lt;/D&gt;&lt;D xsi:type="xsd:double"&gt;83.060326&lt;/D&gt;&lt;D xsi:type="xsd:double"&gt;75.5319&lt;/D&gt;&lt;D xsi:type="xsd:double"&gt;83.974266&lt;/D&gt;&lt;D xsi:type="xsd:double"&gt;48.860596&lt;/D&gt;&lt;D xsi:type="xsd:double"&gt;47.60132&lt;/D&gt;&lt;D xsi:type="xsd:double"&gt;60.52512&lt;/D&gt;&lt;D xsi:type="xsd:double"&gt;72.931435&lt;/D&gt;&lt;D xsi:type="xsd:double"&gt;66.40204&lt;/D&gt;&lt;D xsi:type="xsd:double"&gt;65.85501&lt;/D&gt;&lt;D xsi:type="xsd:double"&gt;35.28266&lt;/D&gt;&lt;D xsi:type="xsd:double"&gt;22.881817&lt;/D&gt;&lt;D xsi:type="xsd:double"&gt;-3.0662894&lt;/D&gt;&lt;D xsi:type="xsd:double"&gt;-3.256607&lt;/D&gt;&lt;D xsi:type="xsd:double"&gt;18.232166&lt;/D&gt;&lt;D xsi:type="xsd:double"&gt;5.0836205&lt;/D&gt;&lt;D xsi:type="xsd:double"&gt;17.936552&lt;/D&gt;&lt;D xsi:type="xsd:double"&gt;47.153175&lt;/D&gt;&lt;D xsi:type="xsd:double"&gt;45.839203&lt;/D&gt;&lt;D xsi:type="xsd:double"&gt;43.583214&lt;/D&gt;&lt;/FQL&gt;&lt;FQL&gt;&lt;Q&gt;SET-BKK^FG_TOTAL_RETURNC(-10AY,0,AM)&lt;/Q&gt;&lt;R&gt;121&lt;/R&gt;&lt;C&gt;1&lt;/C&gt;&lt;D xsi:type="xsd:double"&gt;4.890859&lt;/D&gt;&lt;D xsi:type="xsd:double"&gt;0.6156206&lt;/D&gt;&lt;D xsi:type="xsd:double"&gt;2.7261257&lt;/D&gt;&lt;D xsi:type="xsd:double"&gt;-3.545946&lt;/D&gt;&lt;D xsi:type="xsd:double"&gt;3.1948566&lt;/D&gt;&lt;D xsi:type="xsd:double"&gt;-4.006219&lt;/D&gt;&lt;D xsi:type="xsd:double"&gt;1.388061&lt;/D&gt;&lt;D xsi:type="xsd:double"&gt;4.2068005&lt;/D&gt;&lt;D xsi:type="xsd:double"&gt;-4.2394757&lt;/D&gt;&lt;D xsi:type="xsd:double"&gt;2.266121&lt;/D&gt;&lt;D xsi:type="xsd:double"&gt;-2.609694&lt;/D&gt;&lt;D xsi:type="xsd:double"&gt;-2.2608697&lt;/D&gt;&lt;D xsi:type="xsd:double"&gt;-0.8146286&lt;/D&gt;&lt;D xsi:type="xsd:double"&gt;-6.7727566&lt;/D&gt;&lt;D xsi:type="xsd:double"&gt;0.8121133&lt;/D&gt;&lt;D xsi:type="xsd:double"&gt;1.9125104&lt;/D&gt;&lt;D xsi:type="xsd:double"&gt;-2.254206&lt;/D&gt;&lt;D xsi:type="xsd:double"&gt;-7.2239757&lt;/D&gt;&lt;D xsi:type="xsd:double"&gt;-1.4716923&lt;/D&gt;&lt;D xsi:type="xsd:double"&gt;4.2795777&lt;/D&gt;&lt;D xsi:type="xsd:double"&gt;4.754615&lt;/D&gt;&lt;D xsi:type="xsd:double"&gt;2.3890853&lt;/D&gt;&lt;D xsi:type="xsd:double"&gt;-2.1285295&lt;/D&gt;&lt;D xsi:type="xsd:double"&gt;2.5586963&lt;/D&gt;&lt;D xsi:type="xsd:double"&gt;4.9728513&lt;/D&gt;&lt;D xsi:type="xsd:double"&gt;3.134048&lt;/D&gt;&lt;D xsi:type="xsd:double"&gt;-2.9913723&lt;/D&gt;&lt;D xsi:type="xsd:double"&gt;-0.43209195&lt;/D&gt;&lt;D xsi:type="xsd:double"&gt;-0.8356452&lt;/D&gt;&lt;D xsi:type="xsd:double"&gt;3.293395&lt;/D&gt;&lt;D xsi:type="xsd:double"&gt;2.1334767&lt;/D&gt;&lt;D xsi:type="xsd:double"&gt;1.4766335&lt;/D&gt;&lt;D xsi:type="xsd:double"&gt;-1.0685503&lt;/D&gt;&lt;D xsi:type="xsd:double"&gt;0.39782524&lt;/D&gt;&lt;D xsi:type="xsd:double"&gt;-1.1198342&lt;/D&gt;&lt;D xsi:type="xsd:double"&gt;2.032733&lt;/D&gt;&lt;D xsi:type="xsd:double"&gt;-0.3345728&lt;/D&gt;&lt;D xsi:type="xsd:double"&gt;-0.5914211&lt;/D&gt;&lt;D xsi:type="xsd:double"&gt;6.7703724&lt;/D&gt;&lt;D xsi:type="xsd:double"&gt;0.64810514&lt;/D&gt;&lt;D xsi:type="xsd:double"&gt;1.5414953&lt;/D&gt;&lt;D xsi:type="xsd:double"&gt;1.3414264&lt;/D&gt;&lt;D xsi:type="xsd:double"&gt;5.1393747&lt;/D&gt;&lt;D xsi:type="xsd:double"&gt;-0.64073205&lt;/D&gt;&lt;D xsi:type="xsd:double"&gt;-0.5459547&lt;/D&gt;&lt;D xsi:type="xsd:double"&gt;-0.26947856&lt;/D&gt;&lt;D xsi:type="xsd:double"&gt;-2.271378&lt;/D&gt;&lt;D xsi:type="xsd:double"&gt;-6.5347137&lt;/D&gt;&lt;D xsi:type="xsd:double"&gt;0.44829845&lt;/D&gt;&lt;D xsi:type="xsd:double"&gt;2.620089&lt;/D&gt;&lt;D xsi:type="xsd:double"&gt;3.5360098&lt;/D&gt;&lt;D xsi:type="xsd:double"&gt;-4.679966&lt;/D&gt;&lt;D xsi:type="xsd:double"&gt;-1.8843949&lt;/D&gt;&lt;D xsi:type="xsd:double"&gt;-2.160734&lt;/D&gt;&lt;D xsi:type="xsd:double"&gt;-1.0836124&lt;/D&gt;&lt;D xsi:type="xsd:double"&gt;3.2795072&lt;/D&gt;&lt;D xsi:type="xsd:double"&gt;-0.34357905&lt;/D&gt;&lt;D xsi:type="xsd:double"&gt;2.699852&lt;/D&gt;&lt;D xsi:type="xsd:double"&gt;-3.941816&lt;/D&gt;&lt;D xsi:type="xsd:double"&gt;6.0860276&lt;/D&gt;&lt;D xsi:type="xsd:double"&gt;1.706934&lt;/D&gt;&lt;D xsi:type="xsd:double"&gt;-5.6388674&lt;/D&gt;&lt;D xsi:type="xsd:double"&gt;0.20766258&lt;/D&gt;&lt;D xsi:type="xsd:double"&gt;-0.56257844&lt;/D&gt;&lt;D xsi:type="xsd:double"&gt;-1.482141&lt;/D&gt;&lt;D xsi:type="xsd:double"&gt;-2.0992398&lt;/D&gt;&lt;D xsi:type="xsd:double"&gt;1.7140031&lt;/D&gt;&lt;D xsi:type="xsd:double"&gt;-5.9319677&lt;/D&gt;&lt;D xsi:type="xsd:double"&gt;-30.643494&lt;/D&gt;&lt;D xsi:type="xsd:double"&gt;18.67956&lt;/D&gt;&lt;D xsi:type="xsd:double"&gt;5.705917&lt;/D&gt;&lt;D xsi:type="xsd:double"&gt;4.6467423&lt;/D&gt;&lt;D xsi:type="xsd:double"&gt;-0.81994534&lt;/D&gt;&lt;D xsi:type="xsd:double"&gt;-3.7445307&lt;/D&gt;&lt;D xsi:type="xsd:double"&gt;-1.5496671&lt;/D&gt;&lt;D xsi:type="xsd:double"&gt;-6.1813592999999996&lt;/D&gt;&lt;D xsi:type="xsd:double"&gt;13.2922535&lt;/D&gt;&lt;D xsi:type="xsd:double"&gt;8.248747&lt;/D&gt;&lt;D xsi:type="xsd:double"&gt;2.712524&lt;/D&gt;&lt;D xsi:type="xsd:double"&gt;-1.4501572&lt;/D&gt;&lt;D xsi:type="xsd:double"&gt;4.228556&lt;/D&gt;&lt;D xsi:type="xsd:double"&gt;0.7001519&lt;/D&gt;&lt;D xsi:type="xsd:double"&gt;-0.8044958&lt;/D&gt;&lt;D xsi:type="xsd:double"&gt;3.2479048&lt;/D&gt;&lt;D xsi:type="xsd:double"&gt;-3.5319686&lt;/D&gt;&lt;D xsi:type="xsd:double"&gt;-0.75384974&lt;/D&gt;&lt;D xsi:type="xsd:double"&gt;5.269122&lt;/D&gt;&lt;D xsi:type="xsd:double"&gt;0.291574&lt;/D&gt;&lt;D xsi:type="xsd:double"&gt;0.8997917&lt;/D&gt;&lt;D xsi:type="xsd:double"&gt;-0.2024293&lt;/D&gt;&lt;D xsi:type="xsd:double"&gt;1.0056496&lt;/D&gt;&lt;D xsi:type="xsd:double"&gt;3.314352&lt;/D&gt;&lt;D xsi:type="xsd:double"&gt;-2.0248652&lt;/D&gt;&lt;D xsi:type="xsd:double"&gt;-0.17217994&lt;/D&gt;&lt;D xsi:type="xsd:double"&gt;-4.156077&lt;/D&gt;&lt;D xsi:type="xsd:double"&gt;-2.9010296&lt;/D&gt;&lt;D xsi:type="xsd:double"&gt;-1.6647518&lt;/D&gt;&lt;D xsi:type="xsd:double"&gt;6.031573&lt;/D&gt;&lt;D xsi:type="xsd:double"&gt;0.34749508&lt;/D&gt;&lt;D xsi:type="xsd:double"&gt;-2.6263058&lt;/D&gt;&lt;D xsi:type="xsd:double"&gt;1.8039703&lt;/D&gt;&lt;D xsi:type="xsd:double"&gt;0.05069971&lt;/D&gt;&lt;D xsi:type="xsd:double"&gt;4.3431044&lt;/D&gt;&lt;D xsi:type="xsd:double"&gt;-2.1800637&lt;/D&gt;&lt;D xsi:type="xsd:double"&gt;-5.32794&lt;/D&gt;&lt;D xsi:type="xsd:double"&gt;1.0910153&lt;/D&gt;&lt;D xsi:type="xsd:double"&gt;-4.1651607&lt;/D&gt;&lt;D xsi:type="xsd:double"&gt;2.774465&lt;/D&gt;&lt;D xsi:type="xsd:double"&gt;-1.3025761&lt;/D&gt;&lt;D xsi:type="xsd:double"&gt;-1.1401534&lt;/D&gt;&lt;D xsi:type="xsd:double"&gt;0.25277138&lt;/D&gt;&lt;D xsi:type="xsd:double"&gt;-6.5609035&lt;/D&gt;&lt;D xsi:type="xsd:double"&gt;-0.51017404&lt;/D&gt;&lt;D xsi:type="xsd:double"&gt;-1.4748037&lt;/D&gt;&lt;D xsi:type="xsd:double"&gt;-0.8882344&lt;/D&gt;&lt;D xsi:type="xsd:double"&gt;0.3486395&lt;/D&gt;&lt;D xsi:type="xsd:double"&gt;-0.3510356&lt;/D&gt;&lt;D xsi:type="xsd:double"&gt;-3.644228&lt;/D&gt;&lt;D xsi:type="xsd:double"&gt;3.7985802&lt;/D&gt;&lt;D xsi:type="xsd:double"&gt;-5.7034254&lt;/D&gt;&lt;D xsi:type="xsd:double"&gt;1.0216236&lt;/D&gt;&lt;/FQL&gt;&lt;FQL&gt;&lt;Q&gt;MCHI^FMA_DIV_YLD(NTMA,-10AY,0,AM,"PORTAGG","MEANR")&lt;/Q&gt;&lt;R&gt;121&lt;/R&gt;&lt;C&gt;1&lt;/C&gt;&lt;D xsi:type="xsd:double"&gt;3.61653797492343&lt;/D&gt;&lt;D xsi:type="xsd:double"&gt;3.46271575638703&lt;/D&gt;&lt;D xsi:type="xsd:double"&gt;3.58797145447014&lt;/D&gt;&lt;D xsi:type="xsd:double"&gt;3.81142944054071&lt;/D&gt;&lt;D xsi:type="xsd:double"&gt;3.741869894797&lt;/D&gt;&lt;D xsi:type="xsd:double"&gt;3.49895489613233&lt;/D&gt;&lt;D xsi:type="xsd:double"&gt;3.2412769163918&lt;/D&gt;&lt;D xsi:type="xsd:double"&gt;3.10463284572891&lt;/D&gt;&lt;D xsi:type="xsd:double"&gt;3.09706554797519&lt;/D&gt;&lt;D xsi:type="xsd:double"&gt;2.52602417744658&lt;/D&gt;&lt;D xsi:type="xsd:double"&gt;2.5571481981858&lt;/D&gt;&lt;D xsi:type="xsd:double"&gt;2.78909809257545&lt;/D&gt;&lt;D xsi:type="xsd:double"&gt;3.05811300566137&lt;/D&gt;&lt;D xsi:type="xsd:double"&gt;3.29118028382204&lt;/D&gt;&lt;D xsi:type="xsd:double"&gt;3.39160235589192&lt;/D&gt;&lt;D xsi:type="xsd:double"&gt;3.16190414388789&lt;/D&gt;&lt;D xsi:type="xsd:double"&gt;3.21103841945692&lt;/D&gt;&lt;D xsi:type="xsd:double"&gt;3.29907441936571&lt;/D&gt;&lt;D xsi:type="xsd:double"&gt;3.23494902459717&lt;/D&gt;&lt;D xsi:type="xsd:double"&gt;3.24624904823429&lt;/D&gt;&lt;D xsi:type="xsd:double"&gt;2.97609568848594&lt;/D&gt;&lt;D xsi:type="xsd:double"&gt;2.82577384148541&lt;/D&gt;&lt;D xsi:type="xsd:double"&gt;3.08938535180879&lt;/D&gt;&lt;D xsi:type="xsd:double"&gt;2.6965323775767&lt;/D&gt;&lt;D xsi:type="xsd:double"&gt;2.48270784637866&lt;/D&gt;&lt;D xsi:type="xsd:double"&gt;2.31340741807176&lt;/D&gt;&lt;D xsi:type="xsd:double"&gt;2.25792150527772&lt;/D&gt;&lt;D xsi:type="xsd:double"&gt;2.26507874004365&lt;/D&gt;&lt;D xsi:type="xsd:double"&gt;2.35505652924546&lt;/D&gt;&lt;D xsi:type="xsd:double"&gt;2.42784501710669&lt;/D&gt;&lt;D xsi:type="xsd:double"&gt;2.33237858543452&lt;/D&gt;&lt;D xsi:type="xsd:double"&gt;2.24090422027&lt;/D&gt;&lt;D xsi:type="xsd:double"&gt;2.1895725387955&lt;/D&gt;&lt;D xsi:type="xsd:double"&gt;2.31405781911202&lt;/D&gt;&lt;D xsi:type="xsd:double"&gt;2.20163780748207&lt;/D&gt;&lt;D xsi:type="xsd:double"&gt;2.1590728475608&lt;/D&gt;&lt;D xsi:type="xsd:double"&gt;2.10543045266079&lt;/D&gt;&lt;D xsi:type="xsd:double"&gt;2.14807546780669&lt;/D&gt;&lt;D xsi:type="xsd:double"&gt;2.08086942848084&lt;/D&gt;&lt;D xsi:type="xsd:double"&gt;2.08241297154226&lt;/D&gt;&lt;D xsi:type="xsd:double"&gt;2.00993653533245&lt;/D&gt;&lt;D xsi:type="xsd:double"&gt;2.08929702601649&lt;/D&gt;&lt;D xsi:type="xsd:double"&gt;1.95848362251792&lt;/D&gt;&lt;D xsi:type="xsd:double"&gt;2.08170325913802&lt;/D&gt;&lt;D xsi:type="xsd:double"&gt;2.07108308153118&lt;/D&gt;&lt;D xsi:type="xsd:double"&gt;2.29389780289844&lt;/D&gt;&lt;D xsi:type="xsd:double"&gt;2.2468915272783&lt;/D&gt;&lt;D xsi:type="xsd:double"&gt;2.3250664109754&lt;/D&gt;&lt;D xsi:type="xsd:double"&gt;2.42851275678558&lt;/D&gt;&lt;D xsi:type="xsd:double"&gt;2.59641502864078&lt;/D&gt;&lt;D xsi:type="xsd:double"&gt;2.63466520553784&lt;/D&gt;&lt;D xsi:type="xsd:double"&gt;2.89332487763061&lt;/D&gt;&lt;D xsi:type="xsd:double"&gt;2.76788567267207&lt;/D&gt;&lt;D xsi:type="xsd:double"&gt;2.83520974109784&lt;/D&gt;&lt;D xsi:type="xsd:double"&gt;2.66021922756383&lt;/D&gt;&lt;D xsi:type="xsd:double"&gt;2.54602963787718&lt;/D&gt;&lt;D xsi:type="xsd:double"&gt;2.39804641807825&lt;/D&gt;&lt;D xsi:type="xsd:double"&gt;2.33510328502703&lt;/D&gt;&lt;D xsi:type="xsd:double"&gt;2.55440339916219&lt;/D&gt;&lt;D xsi:type="xsd:double"&gt;2.52014155871218&lt;/D&gt;&lt;D xsi:type="xsd:double"&gt;2.46958485602106&lt;/D&gt;&lt;D xsi:type="xsd:double"&gt;2.56459688622692&lt;/D&gt;&lt;D xsi:type="xsd:double"&gt;2.47194948378355&lt;/D&gt;&lt;D xsi:type="xsd:double"&gt;2.51712387403197&lt;/D&gt;&lt;D xsi:type="xsd:double"&gt;2.46475312575542&lt;/D&gt;&lt;D xsi:type="xsd:double"&gt;2.2822060279819&lt;/D&gt;&lt;D xsi:type="xsd:double"&gt;2.19716267165448&lt;/D&gt;&lt;D xsi:type="xsd:double"&gt;2.21597862091044&lt;/D&gt;&lt;D xsi:type="xsd:double"&gt;2.6262012884949&lt;/D&gt;&lt;D xsi:type="xsd:double"&gt;2.2103026727285&lt;/D&gt;&lt;D xsi:type="xsd:double"&gt;2.11529213952668&lt;/D&gt;&lt;D xsi:type="xsd:double"&gt;1.91943432472665&lt;/D&gt;&lt;D xsi:type="xsd:double"&gt;1.82059392609772&lt;/D&gt;&lt;D xsi:type="xsd:double"&gt;1.78268537646023&lt;/D&gt;&lt;D xsi:type="xsd:double"&gt;1.77845629442729&lt;/D&gt;&lt;D xsi:type="xsd:double"&gt;1.72569832935362&lt;/D&gt;&lt;D xsi:type="xsd:double"&gt;1.73816892651175&lt;/D&gt;&lt;D xsi:type="xsd:double"&gt;1.66425931671977&lt;/D&gt;&lt;D xsi:type="xsd:double"&gt;1.44471981368459&lt;/D&gt;&lt;D xsi:type="xsd:double"&gt;1.32334034933138&lt;/D&gt;&lt;D xsi:type="xsd:double"&gt;1.50235112252665&lt;/D&gt;&lt;D xsi:type="xsd:double"&gt;1.59834287887065&lt;/D&gt;&lt;D xsi:type="xsd:double"&gt;1.68122943160543&lt;/D&gt;&lt;D xsi:type="xsd:double"&gt;1.62972495041379&lt;/D&gt;&lt;D xsi:type="xsd:double"&gt;1.70328824775497&lt;/D&gt;&lt;D xsi:type="xsd:double"&gt;2.00088081355392&lt;/D&gt;&lt;D xsi:type="xsd:double"&gt;1.91866050270504&lt;/D&gt;&lt;D xsi:type="xsd:double"&gt;1.87291013958057&lt;/D&gt;&lt;D xsi:type="xsd:double"&gt;1.98255752579297&lt;/D&gt;&lt;D xsi:type="xsd:double"&gt;2.14571515653773&lt;/D&gt;&lt;D xsi:type="xsd:double"&gt;2.15365108126844&lt;/D&gt;&lt;D xsi:type="xsd:double"&gt;2.21791754066562&lt;/D&gt;&lt;D xsi:type="xsd:double"&gt;2.51457805893924&lt;/D&gt;&lt;D xsi:type="xsd:double"&gt;2.64548045839757&lt;/D&gt;&lt;D xsi:type="xsd:double"&gt;2.62519060373455&lt;/D&gt;&lt;D xsi:type="xsd:double"&gt;2.4454147794803&lt;/D&gt;&lt;D xsi:type="xsd:double"&gt;2.46380276941578&lt;/D&gt;&lt;D xsi:type="xsd:double"&gt;2.59403049476003&lt;/D&gt;&lt;D xsi:type="xsd:double"&gt;2.6298517819691&lt;/D&gt;&lt;D xsi:type="xsd:double"&gt;2.95451204368945&lt;/D&gt;&lt;D xsi:type="xsd:double"&gt;2.67828390215442&lt;/D&gt;&lt;D xsi:type="xsd:double"&gt;2.48183766586474&lt;/D&gt;&lt;D xsi:type="xsd:double"&gt;2.22152810849266&lt;/D&gt;&lt;D xsi:type="xsd:double"&gt;2.33534848310323&lt;/D&gt;&lt;D xsi:type="xsd:double"&gt;2.50253788651054&lt;/D&gt;&lt;D xsi:type="xsd:double"&gt;2.43812430813305&lt;/D&gt;&lt;D xsi:type="xsd:double"&gt;2.5739107676697&lt;/D&gt;&lt;D xsi:type="xsd:double"&gt;2.41318876227918&lt;/D&gt;&lt;D xsi:type="xsd:double"&gt;2.48787358112628&lt;/D&gt;&lt;D xsi:type="xsd:double"&gt;2.54772369234988&lt;/D&gt;&lt;D xsi:type="xsd:double"&gt;2.52037346279959&lt;/D&gt;&lt;D xsi:type="xsd:double"&gt;2.66341023259023&lt;/D&gt;&lt;D xsi:type="xsd:double"&gt;2.60965534525713&lt;/D&gt;&lt;D xsi:type="xsd:double"&gt;2.73190735500303&lt;/D&gt;&lt;D xsi:type="xsd:double"&gt;2.93367001457204&lt;/D&gt;&lt;D xsi:type="xsd:double"&gt;2.91134367370372&lt;/D&gt;&lt;D xsi:type="xsd:double"&gt;2.91005637961671&lt;/D&gt;&lt;D xsi:type="xsd:double"&gt;3.08991839577021&lt;/D&gt;&lt;D xsi:type="xsd:double"&gt;2.62796808980634&lt;/D&gt;&lt;D xsi:type="xsd:double"&gt;2.8804245691332&lt;/D&gt;&lt;D xsi:type="xsd:double"&gt;2.94301393859098&lt;/D&gt;&lt;/FQL&gt;&lt;FQL&gt;&lt;Q&gt;DDR3512M-FDS^FG_PRICE_CHANGE(0,-3AM)&lt;/Q&gt;&lt;R&gt;1&lt;/R&gt;&lt;C&gt;1&lt;/C&gt;&lt;D xsi:type="xsd:double"&gt;-5.12728844839351&lt;/D&gt;&lt;/FQL&gt;&lt;FQL&gt;&lt;Q&gt;PASP-FDS^FG_PRICE(0)&lt;/Q&gt;&lt;R&gt;1&lt;/R&gt;&lt;C&gt;1&lt;/C&gt;&lt;D xsi:type="xsd:double"&gt;960&lt;/D&gt;&lt;/FQL&gt;&lt;FQL&gt;&lt;Q&gt;CPALM-FDS^FG_PRICE_CHANGE(0,-1AY)&lt;/Q&gt;&lt;R&gt;1&lt;/R&gt;&lt;C&gt;1&lt;/C&gt;&lt;D xsi:type="xsd:double"&gt;4.20669955855622&lt;/D&gt;&lt;/FQL&gt;&lt;FQL&gt;&lt;Q&gt;SET-BKK^FG_PRICE_MAVG(0,,,,60)&lt;/Q&gt;&lt;R&gt;1&lt;/R&gt;&lt;C&gt;1&lt;/C&gt;&lt;D xsi:type="xsd:double"&gt;1337.3707&lt;/D&gt;&lt;/FQL&gt;&lt;FQL&gt;&lt;Q&gt;EZA^FG_PRICE_MAVG(0,,,,200)&lt;/Q&gt;&lt;R&gt;1&lt;/R&gt;&lt;C&gt;1&lt;/C&gt;&lt;D xsi:type="xsd:double"&gt;40.04915&lt;/D&gt;&lt;/FQL&gt;&lt;FQL&gt;&lt;Q&gt;EIDO^FG_PRICE(0)&lt;/Q&gt;&lt;R&gt;1&lt;/R&gt;&lt;C&gt;1&lt;/C&gt;&lt;D xsi:type="xsd:double"&gt;20.19&lt;/D&gt;&lt;/FQL&gt;&lt;FQL&gt;&lt;Q&gt;VNM^FG_TOTAL_RETURNC(0,-6AM)&lt;/Q&gt;&lt;R&gt;1&lt;/R&gt;&lt;C&gt;1&lt;/C&gt;&lt;D xsi:type="xsd:double"&gt;-6.8058786&lt;/D&gt;&lt;/FQL&gt;&lt;FQL&gt;&lt;Q&gt;TUR^FG_TOTAL_RETURNC(0,-3AM)&lt;/Q&gt;&lt;R&gt;1&lt;/R&gt;&lt;C&gt;1&lt;/C&gt;&lt;D xsi:type="xsd:double"&gt;15.863026&lt;/D&gt;&lt;/FQL&gt;&lt;FQL&gt;&lt;Q&gt;QAT^FG_TOTAL_RETURNC(0,-1AM)&lt;/Q&gt;&lt;R&gt;1&lt;/R&gt;&lt;C&gt;1&lt;/C&gt;&lt;D xsi:type="xsd:double"&gt;2.1699905&lt;/D&gt;&lt;/FQL&gt;&lt;FQL&gt;&lt;Q&gt;EWZ^P_PRICE(0)/P_PRICE_LOW_PR(0,,,,,,"PRICE","INTRA","52W")-1&lt;/Q&gt;&lt;R&gt;1&lt;/R&gt;&lt;C&gt;1&lt;/C&gt;&lt;D xsi:type="xsd:double"&gt;0.04341352&lt;/D&gt;&lt;/FQL&gt;&lt;FQL&gt;&lt;Q&gt;EWM^P_PRICE(0)/P_PRICE_HIGH_PR(0,,,,,,"PRICE","INTRA","52W")&lt;/Q&gt;&lt;R&gt;1&lt;/R&gt;&lt;C&gt;1&lt;/C&gt;&lt;D xsi:type="xsd:double"&gt;0.99000645&lt;/D&gt;&lt;/FQL&gt;&lt;FQL&gt;&lt;Q&gt;EPOL^FG_TOTAL_RETURNC(0,-6AM)&lt;/Q&gt;&lt;R&gt;1&lt;/R&gt;&lt;C&gt;1&lt;/C&gt;&lt;D xsi:type="xsd:double"&gt;17.317509&lt;/D&gt;&lt;/FQL&gt;&lt;FQL&gt;&lt;Q&gt;CNYA^FG_TOTAL_RETURNC(0,-1AM)&lt;/Q&gt;&lt;R&gt;1&lt;/R&gt;&lt;C&gt;1&lt;/C&gt;&lt;D xsi:type="xsd:double"&gt;-1.3719559&lt;/D&gt;&lt;/FQL&gt;&lt;FQL&gt;&lt;Q&gt;EWW^FMA_COS_DOWN("EPS","1M",+1,NOW,,,"PORTAGG","MEANR")&lt;/Q&gt;&lt;R&gt;1&lt;/R&gt;&lt;C&gt;1&lt;/C&gt;&lt;D xsi:type="xsd:double"&gt;11&lt;/D&gt;&lt;/FQL&gt;&lt;FQL&gt;&lt;Q&gt;EIDO^FMA_COS_DOWN("EPS","1M",+1,NOW,,,"PORTAGG","MEANR")&lt;/Q&gt;&lt;R&gt;1&lt;/R&gt;&lt;C&gt;1&lt;/C&gt;&lt;D xsi:type="xsd:double"&gt;21&lt;/D&gt;&lt;/FQL&gt;&lt;FQL&gt;&lt;Q&gt;EWY^FMA_RBICS_REV_CURRENT(30, LOC, "PORTAGG")&lt;/Q&gt;&lt;R&gt;1&lt;/R&gt;&lt;C&gt;1&lt;/C&gt;&lt;D xsi:type="xsd:double"&gt;14.4107719744198&lt;/D&gt;&lt;/FQL&gt;&lt;FQL&gt;&lt;Q&gt;KSA^FMA_DIV_YLD(NTMA,NOW,NOW,M,"PORTAGG","MEANR")&lt;/Q&gt;&lt;R&gt;1&lt;/R&gt;&lt;C&gt;1&lt;/C&gt;&lt;D xsi:type="xsd:double"&gt;3.62021533184084&lt;/D&gt;&lt;/FQL&gt;&lt;FQL&gt;&lt;Q&gt;ECH^JULIAN(FMA_DIV_YLD(NTMA,NOW,NOW,M,"PORTAGG","MEANR").DATES)&lt;/Q&gt;&lt;R&gt;1&lt;/R&gt;&lt;C&gt;1&lt;/C&gt;&lt;D xsi:type="xsd:long"&gt;45471&lt;/D&gt;&lt;/FQL&gt;&lt;FQL&gt;&lt;Q&gt;EWZ^FG_COMPANY_NAME&lt;/Q&gt;&lt;R&gt;1&lt;/R&gt;&lt;C&gt;1&lt;/C&gt;&lt;D xsi:type="xsd:string"&gt;iShares MSCI Brazil ETF&lt;/D&gt;&lt;/FQL&gt;&lt;FQL&gt;&lt;Q&gt;USDBRL^FG_PRICE_CHANGE(0,-3AM)&lt;/Q&gt;&lt;R&gt;1&lt;/R&gt;&lt;C&gt;1&lt;/C&gt;&lt;D xsi:type="xsd:double"&gt;6.4513683&lt;/D&gt;&lt;/FQL&gt;&lt;FQL&gt;&lt;Q&gt;USDMYR^STD(FG_PRICE_CHANGE(0,-1AY,AM))&lt;/Q&gt;&lt;R&gt;1&lt;/R&gt;&lt;C&gt;1&lt;/C&gt;&lt;D xsi:type="xsd:double"&gt;1.43350880047046&lt;/D&gt;&lt;/FQL&gt;&lt;FQL&gt;&lt;Q&gt;FC0000SA^FMA_EPS(NTMA,-20AY,0,CY,,"PORTAGG","MEANR")&lt;/Q&gt;&lt;R&gt;20&lt;/R&gt;&lt;C&gt;1&lt;/C&gt;&lt;D xsi:type="xsd:string"&gt;@NA&lt;/D&gt;&lt;D xsi:type="xsd:string"&gt;@NA&lt;/D&gt;&lt;D xsi:type="xsd:string"&gt;@NA&lt;/D&gt;&lt;D xsi:type="xsd:double"&gt;3.96336847567451&lt;/D&gt;&lt;D xsi:type="xsd:double"&gt;3.26626042393583&lt;/D&gt;&lt;D xsi:type="xsd:double"&gt;2.53989246401814&lt;/D&gt;&lt;D xsi:type="xsd:double"&gt;2.77600916912685&lt;/D&gt;&lt;D xsi:type="xsd:double"&gt;3.29521282805116&lt;/D&gt;&lt;D xsi:type="xsd:double"&gt;3.61051444681354&lt;/D&gt;&lt;D xsi:type="xsd:double"&gt;3.7978958686548&lt;/D&gt;&lt;D xsi:type="xsd:double"&gt;3.75005115904989&lt;/D&gt;&lt;D xsi:type="xsd:double"&gt;3.29103190766382&lt;/D&gt;&lt;D xsi:type="xsd:double"&gt;2.82016085211551&lt;/D&gt;&lt;D xsi:type="xsd:double"&gt;3.21155371352054&lt;/D&gt;&lt;D xsi:type="xsd:double"&gt;3.27157784678448&lt;/D&gt;&lt;D xsi:type="xsd:double"&gt;2.35315851136102&lt;/D&gt;&lt;D xsi:type="xsd:double"&gt;1.93303149915198&lt;/D&gt;&lt;D xsi:type="xsd:double"&gt;3.07367882792392&lt;/D&gt;&lt;D xsi:type="xsd:double"&gt;3.62922601686806&lt;/D&gt;&lt;D xsi:type="xsd:double"&gt;3.01150373774813&lt;/D&gt;&lt;/FQL&gt;&lt;FQL&gt;&lt;Q&gt;MCHI^FMA_PE(NTMA,-10AY,0,AM,"PORTAGG","MEANR")&lt;/Q&gt;&lt;R&gt;121&lt;/R&gt;&lt;C&gt;1&lt;/C&gt;&lt;D xsi:type="xsd:double"&gt;8.97143768881131&lt;/D&gt;&lt;D xsi:type="xsd:double"&gt;9.34602437778771&lt;/D&gt;&lt;D xsi:type="xsd:double"&gt;8.98440066410664&lt;/D&gt;&lt;D xsi:type="xsd:double"&gt;8.41030517995337&lt;/D&gt;&lt;D xsi:type="xsd:double"&gt;8.63033703757529&lt;/D&gt;&lt;D xsi:type="xsd:double"&gt;9.11437378179646&lt;/D&gt;&lt;D xsi:type="xsd:double"&gt;9.81443455595724&lt;/D&gt;&lt;D xsi:type="xsd:double"&gt;10.2390815398708&lt;/D&gt;&lt;D xsi:type="xsd:double"&gt;10.1764558811122&lt;/D&gt;&lt;D xsi:type="xsd:double"&gt;12.2489087043863&lt;/D&gt;&lt;D xsi:type="xsd:double"&gt;11.9808087853556&lt;/D&gt;&lt;D xsi:type="xsd:double"&gt;11.0057708979595&lt;/D&gt;&lt;D xsi:type="xsd:double"&gt;10.0075103271884&lt;/D&gt;&lt;D xsi:type="xsd:double"&gt;9.29779168052632&lt;/D&gt;&lt;D xsi:type="xsd:double"&gt;9.04660660861544&lt;/D&gt;&lt;D xsi:type="xsd:double"&gt;9.66515020734676&lt;/D&gt;&lt;D xsi:type="xsd:double"&gt;9.51031015626424&lt;/D&gt;&lt;D xsi:type="xsd:double"&gt;9.2420017903218&lt;/D&gt;&lt;D xsi:type="xsd:double"&gt;9.06100805759934&lt;/D&gt;&lt;D xsi:type="xsd:double"&gt;9.03809425051015&lt;/D&gt;&lt;D xsi:type="xsd:double"&gt;10.0136933267344&lt;/D&gt;&lt;D xsi:type="xsd:double"&gt;10.432672564419&lt;/D&gt;&lt;D xsi:type="xsd:double"&gt;9.48980270689206&lt;/D&gt;&lt;D xsi:type="xsd:double"&gt;10.4893483015346&lt;/D&gt;&lt;D xsi:type="xsd:double"&gt;11.3463232221026&lt;/D&gt;&lt;D xsi:type="xsd:double"&gt;12.1740780658779&lt;/D&gt;&lt;D xsi:type="xsd:double"&gt;12.3809952503989&lt;/D&gt;&lt;D xsi:type="xsd:double"&gt;12.2882964184897&lt;/D&gt;&lt;D xsi:type="xsd:double"&gt;11.7359416747636&lt;/D&gt;&lt;D xsi:type="xsd:double"&gt;11.3074381863989&lt;/D&gt;&lt;D xsi:type="xsd:double"&gt;11.8837239771525&lt;/D&gt;&lt;D xsi:type="xsd:double"&gt;12.4012146505036&lt;/D&gt;&lt;D xsi:type="xsd:double"&gt;12.6646871436865&lt;/D&gt;&lt;D xsi:type="xsd:double"&gt;12.2941471960321&lt;/D&gt;&lt;D xsi:type="xsd:double"&gt;12.9420413822493&lt;/D&gt;&lt;D xsi:type="xsd:double"&gt;13.0385587734885&lt;/D&gt;&lt;D xsi:type="xsd:double"&gt;13.458961480135&lt;/D&gt;&lt;D xsi:type="xsd:double"&gt;13.4306020222759&lt;/D&gt;&lt;D xsi:type="xsd:double"&gt;13.7794313323433&lt;/D&gt;&lt;D xsi:type="xsd:double"&gt;13.6578797853143&lt;/D&gt;&lt;D xsi:type="xsd:double"&gt;14.0043025221278&lt;/D&gt;&lt;D xsi:type="xsd:double"&gt;13.3201362088706&lt;/D&gt;&lt;D xsi:type="xsd:double"&gt;14.1898648855373&lt;/D&gt;&lt;D xsi:type="xsd:double"&gt;13.4314898757804&lt;/D&gt;&lt;D xsi:type="xsd:double"&gt;13.5419878293051&lt;/D&gt;&lt;D xsi:type="xsd:double"&gt;12.4893934029267&lt;/D&gt;&lt;D xsi:type="xsd:double"&gt;12.6935125900652&lt;/D&gt;&lt;D xsi:type="xsd:double"&gt;12.2649334412078&lt;/D&gt;&lt;D xsi:type="xsd:double"&gt;11.8082780672296&lt;/D&gt;&lt;D xsi:type="xsd:double"&gt;11.1052413725712&lt;/D&gt;&lt;D xsi:type="xsd:double"&gt;11.0260499542593&lt;/D&gt;&lt;D xsi:type="xsd:double"&gt;10.0623799192083&lt;/D&gt;&lt;D xsi:type="xsd:double"&gt;10.5151670027105&lt;/D&gt;&lt;D xsi:type="xsd:double"&gt;10.1944385950255&lt;/D&gt;&lt;D xsi:type="xsd:double"&gt;10.8077454420081&lt;/D&gt;&lt;D xsi:type="xsd:double"&gt;11.221545153653&lt;/D&gt;&lt;D xsi:type="xsd:double"&gt;11.8920011971919&lt;/D&gt;&lt;D xsi:type="xsd:double"&gt;12.2412876224059&lt;/D&gt;&lt;D xsi:type="xsd:double"&gt;11.1873700818587&lt;/D&gt;&lt;D xsi:type="xsd:double"&gt;11.3742562284812&lt;/D&gt;&lt;D xsi:type="xsd:double"&gt;11.5081464415743&lt;/D&gt;&lt;D xsi:type="xsd:double"&gt;11.084998329989&lt;/D&gt;&lt;D xsi:type="xsd:double"&gt;11.4276581339054&lt;/D&gt;&lt;D xsi:type="xsd:double"&gt;11.159638852347&lt;/D&gt;&lt;D xsi:type="xsd:double"&gt;11.3656886113313&lt;/D&gt;&lt;D xsi:type="xsd:double"&gt;12.203160386668&lt;/D&gt;&lt;D xsi:type="xsd:double"&gt;12.6412886409712&lt;/D&gt;&lt;D xsi:type="xsd:double"&gt;12.5091025542683&lt;/D&gt;&lt;D xsi:type="xsd:double"&gt;10.4533455525794&lt;/D&gt;&lt;D xsi:type="xsd:double"&gt;12.359104970386&lt;/D&gt;&lt;D xsi:type="xsd:double"&gt;12.9380606484422&lt;/D&gt;&lt;D xsi:type="xsd:double"&gt;14.0317347309657&lt;/D&gt;&lt;D xsi:type="xsd:double"&gt;14.8051839113466&lt;/D&gt;&lt;D xsi:type="xsd:double"&gt;14.946416300558&lt;/D&gt;&lt;D xsi:type="xsd:double"&gt;14.9202910995564&lt;/D&gt;&lt;D xsi:type="xsd:double"&gt;15.3298881932538&lt;/D&gt;&lt;D xsi:type="xsd:double"&gt;15.0692643259639&lt;/D&gt;&lt;D xsi:type="xsd:double"&gt;15.5303267667209&lt;/D&gt;&lt;D xsi:type="xsd:double"&gt;17.3127865784971&lt;/D&gt;&lt;D xsi:type="xsd:double"&gt;18.6443192269555&lt;/D&gt;&lt;D xsi:type="xsd:double"&gt;16.5994853104668&lt;/D&gt;&lt;D xsi:type="xsd:double"&gt;16.082217478113&lt;/D&gt;&lt;D xsi:type="xsd:double"&gt;15.4162499238339&lt;/D&gt;&lt;D xsi:type="xsd:double"&gt;15.8762950339025&lt;/D&gt;&lt;D xsi:ty</t>
        </r>
      </text>
    </comment>
    <comment ref="A15" authorId="0" shapeId="0" xr:uid="{3910A3DD-638D-4F7F-A06B-84B6CA9FC1BA}">
      <text>
        <r>
          <rPr>
            <b/>
            <sz val="9"/>
            <color indexed="81"/>
            <rFont val="Tahoma"/>
            <charset val="1"/>
          </rPr>
          <t>pe="xsd:double"&gt;15.0557633311732&lt;/D&gt;&lt;D xsi:type="xsd:double"&gt;13.066390825171&lt;/D&gt;&lt;D xsi:type="xsd:double"&gt;13.4577907432427&lt;/D&gt;&lt;D xsi:type="xsd:double"&gt;13.8428436346897&lt;/D&gt;&lt;D xsi:type="xsd:double"&gt;13.2664827677639&lt;/D&gt;&lt;D xsi:type="xsd:double"&gt;12.3832555198605&lt;/D&gt;&lt;D xsi:type="xsd:double"&gt;12.4661743322295&lt;/D&gt;&lt;D xsi:type="xsd:double"&gt;12.0994436368243&lt;/D&gt;&lt;D xsi:type="xsd:double"&gt;10.6331450330604&lt;/D&gt;&lt;D xsi:type="xsd:double"&gt;10.3737806337365&lt;/D&gt;&lt;D xsi:type="xsd:double"&gt;10.4946617097783&lt;/D&gt;&lt;D xsi:type="xsd:double"&gt;11.5133059845879&lt;/D&gt;&lt;D xsi:type="xsd:double"&gt;11.3166363242945&lt;/D&gt;&lt;D xsi:type="xsd:double"&gt;10.6902772084323&lt;/D&gt;&lt;D xsi:type="xsd:double"&gt;10.3643036693568&lt;/D&gt;&lt;D xsi:type="xsd:double"&gt;9.17460319049225&lt;/D&gt;&lt;D xsi:type="xsd:double"&gt;10.0481267957598&lt;/D&gt;&lt;D xsi:type="xsd:double"&gt;10.6796138207749&lt;/D&gt;&lt;D xsi:type="xsd:double"&gt;11.7749658763077&lt;/D&gt;&lt;D xsi:type="xsd:double"&gt;11.1839524282433&lt;/D&gt;&lt;D xsi:type="xsd:double"&gt;10.4977173714202&lt;/D&gt;&lt;D xsi:type="xsd:double"&gt;10.9131546258268&lt;/D&gt;&lt;D xsi:type="xsd:double"&gt;10.3010379125193&lt;/D&gt;&lt;D xsi:type="xsd:double"&gt;10.8139061211283&lt;/D&gt;&lt;D xsi:type="xsd:double"&gt;10.3494677549284&lt;/D&gt;&lt;D xsi:type="xsd:double"&gt;10.0235774439307&lt;/D&gt;&lt;D xsi:type="xsd:double"&gt;10.1298069706711&lt;/D&gt;&lt;D xsi:type="xsd:double"&gt;9.49903292825183&lt;/D&gt;&lt;D xsi:type="xsd:double"&gt;9.70152019823699&lt;/D&gt;&lt;D xsi:type="xsd:double"&gt;9.19656470077718&lt;/D&gt;&lt;D xsi:type="xsd:double"&gt;8.51679296660157&lt;/D&gt;&lt;D xsi:type="xsd:double"&gt;9.04505113045568&lt;/D&gt;&lt;D xsi:type="xsd:double"&gt;9.23724125296786&lt;/D&gt;&lt;D xsi:type="xsd:double"&gt;9.14998142070024&lt;/D&gt;&lt;D xsi:type="xsd:double"&gt;10.8710031683656&lt;/D&gt;&lt;D xsi:type="xsd:double"&gt;9.79719541416343&lt;/D&gt;&lt;D xsi:type="xsd:double"&gt;9.49651424379317&lt;/D&gt;&lt;/FQL&gt;&lt;FQL&gt;&lt;Q&gt;SET-BKK^FMA_PE(LTMA,-10AY,0,AM,"PORTAGG","MEANR")&lt;/Q&gt;&lt;R&gt;121&lt;/R&gt;&lt;C&gt;1&lt;/C&gt;&lt;D xsi:type="xsd:double"&gt;17.8428623143955&lt;/D&gt;&lt;D xsi:type="xsd:double"&gt;18.8126996627098&lt;/D&gt;&lt;D xsi:type="xsd:double"&gt;19.2265416331293&lt;/D&gt;&lt;D xsi:type="xsd:double"&gt;18.7207549538076&lt;/D&gt;&lt;D xsi:type="xsd:double"&gt;19.8024362301093&lt;/D&gt;&lt;D xsi:type="xsd:double"&gt;19.3853973645751&lt;/D&gt;&lt;D xsi:type="xsd:double"&gt;19.8756052816358&lt;/D&gt;&lt;D xsi:type="xsd:double"&gt;22.5277258260293&lt;/D&gt;&lt;D xsi:type="xsd:double"&gt;23.1239174311613&lt;/D&gt;&lt;D xsi:type="xsd:double"&gt;22.529725885477&lt;/D&gt;&lt;D xsi:type="xsd:double"&gt;21.9922737839498&lt;/D&gt;&lt;D xsi:type="xsd:double"&gt;21.1616056740877&lt;/D&gt;&lt;D xsi:type="xsd:double"&gt;20.6972314561529&lt;/D&gt;&lt;D xsi:type="xsd:double"&gt;19.4559409007784&lt;/D&gt;&lt;D xsi:type="xsd:double"&gt;19.0031066676721&lt;/D&gt;&lt;D xsi:type="xsd:double"&gt;18.6594223990782&lt;/D&gt;&lt;D xsi:type="xsd:double"&gt;16.4168426226231&lt;/D&gt;&lt;D xsi:type="xsd:double"&gt;14.616977877518&lt;/D&gt;&lt;D xsi:type="xsd:double"&gt;14.1635915341076&lt;/D&gt;&lt;D xsi:type="xsd:double"&gt;16.6445349805867&lt;/D&gt;&lt;D xsi:type="xsd:double"&gt;16.6066987677227&lt;/D&gt;&lt;D xsi:type="xsd:double"&gt;16.5148775222952&lt;/D&gt;&lt;D xsi:type="xsd:double"&gt;16.2486099479686&lt;/D&gt;&lt;D xsi:type="xsd:double"&gt;16.3248407834453&lt;/D&gt;&lt;D xsi:type="xsd:double"&gt;16.6532594211598&lt;/D&gt;&lt;D xsi:type="xsd:double"&gt;16.647469548058&lt;/D&gt;&lt;D xsi:type="xsd:double"&gt;16.200372471915&lt;/D&gt;&lt;D xsi:type="xsd:double"&gt;16.0094480499965&lt;/D&gt;&lt;D xsi:type="xsd:double"&gt;15.8178427633143&lt;/D&gt;&lt;D xsi:type="xsd:double"&gt;16.1116146981392&lt;/D&gt;&lt;D xsi:type="xsd:double"&gt;16.3915801675621&lt;/D&gt;&lt;D xsi:type="xsd:double"&gt;16.3671300123503&lt;/D&gt;&lt;D xsi:type="xsd:double"&gt;16.3026720240508&lt;/D&gt;&lt;D xsi:type="xsd:double"&gt;16.2127185644661&lt;/D&gt;&lt;D xsi:type="xsd:double"&gt;16.029076963538&lt;/D&gt;&lt;D xsi:type="xsd:double"&gt;16.1152832151873&lt;/D&gt;&lt;D xsi:type="xsd:double"&gt;15.9397642045098&lt;/D&gt;&lt;D xsi:type="xsd:double"&gt;15.9262376107196&lt;/D&gt;&lt;D xsi:type="xsd:double"&gt;16.5668605858659&lt;/D&gt;&lt;D xsi:type="xsd:double"&gt;16.5586726624187&lt;/D&gt;&lt;D xsi:type="xsd:double"&gt;17.0977840156689&lt;/D&gt;&lt;D xsi:type="xsd:double"&gt;17.5283502915099&lt;/D&gt;&lt;D xsi:type="xsd:double"&gt;18.4951539057287&lt;/D&gt;&lt;D xsi:type="xsd:double"&gt;18.0385934843238&lt;/D&gt;&lt;D xsi:type="xsd:double"&gt;17.617769942297&lt;/D&gt;&lt;D xsi:type="xsd:double"&gt;17.3835682978912&lt;/D&gt;&lt;D xsi:type="xsd:double"&gt;17.258758765657&lt;/D&gt;&lt;D xsi:type="xsd:double"&gt;16.5658545655801&lt;/D&gt;&lt;D xsi:type="xsd:double"&gt;16.3552421662839&lt;/D&gt;&lt;D xsi:type="xsd:double"&gt;16.252960903188&lt;/D&gt;&lt;D xsi:type="xsd:double"&gt;16.4888782292006&lt;/D&gt;&lt;D xsi:type="xsd:double"&gt;15.7086820565004&lt;/D&gt;&lt;D xsi:type="xsd:double"&gt;15.1791577986627&lt;/D&gt;&lt;D xsi:type="xsd:double"&gt;14.6907390167044&lt;/D&gt;&lt;D xsi:type="xsd:double"&gt;14.7485165007504&lt;/D&gt;&lt;D xsi:type="xsd:double"&gt;15.570044301568&lt;/D&gt;&lt;D xsi:type="xsd:double"&gt;16.1597281180336&lt;/D&gt;&lt;D xsi:type="xsd:double"&gt;16.166773825101&lt;/D&gt;&lt;D xsi:type="xsd:double"&gt;15.9304085649686&lt;/D&gt;&lt;D xsi:type="xsd:double"&gt;16.3553729490819&lt;/D&gt;&lt;D xsi:type="xsd:double"&gt;16.5600945890566&lt;/D&gt;&lt;D xsi:type="xsd:double"&gt;16.2607073966151&lt;/D&gt;&lt;D xsi:type="xsd:double"&gt;16.4016973397734&lt;/D&gt;&lt;D xsi:type="xsd:double"&gt;16.7545571064904&lt;/D&gt;&lt;D xsi:type="xsd:double"&gt;17.2050802022249&lt;/D&gt;&lt;D xsi:type="xsd:double"&gt;16.8960179165903&lt;/D&gt;&lt;D xsi:type="xsd:double"&gt;17.1960961370428&lt;/D&gt;&lt;D xsi:type="xsd:double"&gt;16.4050709218838&lt;/D&gt;&lt;D xsi:type="xsd:double"&gt;14.3588282220268&lt;/D&gt;&lt;D xsi:type="xsd:double"&gt;15.20057926501&lt;/D&gt;&lt;D xsi:type="xsd:double"&gt;16.766187615068&lt;/D&gt;&lt;D xsi:type="xsd:double"&gt;18.1896655738824&lt;/D&gt;&lt;D xsi:type="xsd:double"&gt;18.8635082381629&lt;/D&gt;&lt;D xsi:type="xsd:double"&gt;20.1299485151274&lt;/D&gt;&lt;D xsi:type="xsd:double"&gt;21.2380988108761&lt;/D&gt;&lt;D xsi:type="xsd:double"&gt;21.0473791000188&lt;/D&gt;&lt;D xsi:type="xsd:double"&gt;22.9339448717645&lt;/D&gt;&lt;D xsi:type="xsd:double"&gt;25.6000251033519&lt;/D&gt;&lt;D xsi:type="xsd:double"&gt;28.2876395401344&lt;/D&gt;&lt;D xsi:type="xsd:double"&gt;27.7767568981973&lt;/D&gt;&lt;D xsi:type="xsd:double"&gt;27.3165121095735&lt;/D&gt;&lt;D xsi:type="xsd:double"&gt;26.5339009804292&lt;/D&gt;&lt;D xsi:type="xsd:double"&gt;25.1633537164615&lt;/D&gt;&lt;D xsi:type="xsd:double"&gt;24.3547527400301&lt;/D&gt;&lt;D xsi:type="xsd:double"&gt;23.0435965373238&lt;/D&gt;&lt;D xsi:type="xsd:double"&gt;22.0592583159213&lt;/D&gt;&lt;D xsi:type="xsd:double"&gt;21.8549118874421&lt;/D&gt;&lt;D xsi:type="xsd:double"&gt;20.8119294293941&lt;/D&gt;&lt;D xsi:type="xsd:double"&gt;20.0762325559736&lt;/D&gt;&lt;D xsi:type="xsd:double"&gt;19.1310836592263&lt;/D&gt;&lt;D xsi:type="xsd:double"&gt;18.9737782494062&lt;/D&gt;&lt;D xsi:type="xsd:double"&gt;19.2536316308803&lt;/D&gt;&lt;D xsi:type="xsd:double"&gt;18.7885624633036&lt;/D&gt;&lt;D xsi:type="xsd:double"&gt;18.5375566908184&lt;/D&gt;&lt;D xsi:type="xsd:double"&gt;18.1329985921133&lt;/D&gt;&lt;D xsi:type="xsd:double"&gt;17.5930026764097&lt;/D&gt;&lt;D xsi:type="xsd:double"&gt;17.1848949791738&lt;/D&gt;&lt;D xsi:type="xsd:double"&gt;17.2151203608514&lt;/D&gt;&lt;D xsi:type="xsd:double"&gt;16.8351832602759&lt;/D&gt;&lt;D xsi:type="xsd:double"&gt;16.2986149145709&lt;/D&gt;&lt;D xsi:type="xsd:double"&gt;16.6285934220355&lt;/D&gt;&lt;D xsi:type="xsd:double"&gt;16.4606045908638&lt;/D&gt;&lt;D xsi:type="xsd:double"&gt;17.1970908580814&lt;/D&gt;&lt;D xsi:type="xsd:double"&gt;17.4590229725839&lt;/D&gt;&lt;D xsi:type="xsd:double"&gt;17.2853522884481&lt;/D&gt;&lt;D xsi:type="xsd:double"&gt;17.2552136942661&lt;/D&gt;&lt;D xsi:type="xsd:double"&gt;17.078283602478&lt;/D&gt;&lt;D xsi:type="xsd:double"&gt;17.3049366540961&lt;/D&gt;&lt;D xsi:type="xsd:double"&gt;17.3511384566846&lt;/D&gt;&lt;D xsi:type="xsd:double"&gt;17.3794927904213&lt;/D&gt;&lt;D xsi:type="xsd:double"&gt;17.3623546555045&lt;/D&gt;&lt;D xsi:type="xsd:double"&gt;16.7183247482323&lt;/D&gt;&lt;D xsi:type="xsd:double"&gt;16.5058923095807&lt;/D&gt;&lt;D xsi:type="xsd:double"&gt;16.1421172352524&lt;/D&gt;&lt;D xsi:type="xsd:double"&gt;15.5578250883715&lt;/D&gt;&lt;D xsi:type="xsd:double"&gt;16.3682090245419&lt;/D&gt;&lt;D xsi:type="xsd:double"&gt;16.5836677802105&lt;/D&gt;&lt;D xsi:type="xsd:double"&gt;16.2489735069375&lt;/D&gt;&lt;D xsi:type="xsd:double"&gt;16.2956668855746&lt;/D&gt;&lt;D xsi:type="xsd:double"&gt;15.718561809609&lt;/D&gt;&lt;D xsi:type="xsd:double"&gt;15.6104198196359&lt;/D&gt;&lt;/FQL&gt;&lt;FQL&gt;&lt;Q&gt;CPALM-FDS^FG_PRICE_CHANGE(0,-6AM)&lt;/Q&gt;&lt;R&gt;1&lt;/R&gt;&lt;C&gt;1&lt;/C&gt;&lt;D xsi:type="xsd:double"&gt;1.28722867238769&lt;/D&gt;&lt;/FQL&gt;&lt;FQL&gt;&lt;Q&gt;BRENT-FDS^FG_PRICE_MAVG(0,,,,30)&lt;/Q&gt;&lt;R&gt;1&lt;/R&gt;&lt;C&gt;1&lt;/C&gt;&lt;D xsi:type="xsd:double"&gt;85.86&lt;/D&gt;&lt;/FQL&gt;&lt;FQL&gt;&lt;Q&gt;EWM^FG_PRICE_MAVG(0,,,,200)&lt;/Q&gt;&lt;R&gt;1&lt;/R&gt;&lt;C&gt;1&lt;/C&gt;&lt;D xsi:type="xsd:double"&gt;21.7756&lt;/D&gt;&lt;/FQL&gt;&lt;FQL&gt;&lt;Q&gt;ECH^FG_PRICE_MAVG(0,,,,200)&lt;/Q&gt;&lt;R&gt;1&lt;/R&gt;&lt;C&gt;1&lt;/C&gt;&lt;D xsi:type="xsd:double"&gt;26.43705&lt;/D&gt;&lt;/FQL&gt;&lt;FQL&gt;&lt;Q&gt;QAT^PERCENT_CHANGE(FMA_EPS(+1,0,,,,"PORTAGG","MEAN"),FMA_EPS(+1,-3AM,,,,"PORTAGG","MEAN"))&lt;/Q&gt;&lt;R&gt;1&lt;/R&gt;&lt;C&gt;1&lt;/C&gt;&lt;D xsi:type="xsd:double"&gt;-5.47460026331276&lt;/D&gt;&lt;/FQL&gt;&lt;FQL&gt;&lt;Q&gt;INDA^PERCENT_CHANGE(FMA_EPS(+1,0,,,,"PORTAGG","MEAN"),FMA_EPS(+1,-1AM,,,,"PORTAGG","MEAN"))&lt;/Q&gt;&lt;R&gt;1&lt;/R&gt;&lt;C&gt;1&lt;/C&gt;&lt;D xsi:type="xsd:double"&gt;-1.00962037852277&lt;/D&gt;&lt;/FQL&gt;&lt;FQL&gt;&lt;Q&gt;EWW^P_PRICE(0)/P_PRICE_HIGH_PR(0,,,,,,"PRICE","INTRA","52W")&lt;/Q&gt;&lt;R&gt;1&lt;/R&gt;&lt;C&gt;1&lt;/C&gt;&lt;D xsi:type="xsd:double"&gt;0.82381886&lt;/D&gt;&lt;/FQL&gt;&lt;FQL&gt;&lt;Q&gt;EIDO^FG_TOTAL_RETURNC(0,-3AM)&lt;/Q&gt;&lt;R&gt;1&lt;/R&gt;&lt;C&gt;1&lt;/C&gt;&lt;D xsi:type="xsd:double"&gt;0.5769372&lt;/D&gt;&lt;/FQL&gt;&lt;FQL&gt;&lt;Q&gt;CNYA^PERCENT_CHANGE(FMA_EPS(+1,0,,,,"PORTAGG","MEAN"),FMA_EPS(+1,-3AM,,,,"PORTAGG","MEAN"))&lt;/Q&gt;&lt;R&gt;1&lt;/R&gt;&lt;C&gt;1&lt;/C&gt;&lt;D xsi:type="xsd:double"&gt;-2.65681980577722&lt;/D&gt;&lt;/FQL&gt;&lt;FQL&gt;&lt;Q&gt;VWO^FG_TOTAL_RETURNC(0,-3AM)&lt;/Q&gt;&lt;R&gt;1&lt;/R&gt;&lt;C&gt;1&lt;/C&gt;&lt;D xsi:type="xsd:double"&gt;7.851124&lt;/D&gt;&lt;/FQL&gt;&lt;FQL&gt;&lt;Q&gt;VGK^PERCENT_CHANGE(FMA_EPS(+1,0,,,,"PORTAGG","MEAN"),FMA_EPS(+1,-1AM,,,,"PORTAGG","MEAN"))&lt;/Q&gt;&lt;R&gt;1&lt;/R&gt;&lt;C&gt;1&lt;/C&gt;&lt;D xsi:type="xsd:double"&gt;0&lt;/D&gt;&lt;/FQL&gt;&lt;FQL&gt;&lt;Q&gt;KSA^FMA_COS_DOWN("EPS","1M",+1,NOW,,,"PORTAGG","MEANR")&lt;/Q&gt;&lt;R&gt;1&lt;/R&gt;&lt;C&gt;1&lt;/C&gt;&lt;D xsi:type="xsd:double"&gt;34&lt;/D&gt;&lt;/FQL&gt;&lt;FQL&gt;&lt;Q&gt;MCHI^FMA_COS_DOWN("EPS","1M",+1,NOW,,,"PORTAGG","MEANR")&lt;/Q&gt;&lt;R&gt;1&lt;/R&gt;&lt;C&gt;1&lt;/C&gt;&lt;D xsi:type="xsd:double"&gt;221&lt;/D&gt;&lt;/FQL&gt;&lt;FQL&gt;&lt;Q&gt;EIDO^FMA_COS_UP("EPS","1M",+1,NOW,,,"PORTAGG","MEANR")&lt;/Q&gt;&lt;R&gt;1&lt;/R&gt;&lt;C&gt;1&lt;/C&gt;&lt;D xsi:type="xsd:double"&gt;21&lt;/D&gt;&lt;/FQL&gt;&lt;FQL&gt;&lt;Q&gt;EWW^FMA_RBICS_REV_CURRENT(30, LOC, "PORTAGG")&lt;/Q&gt;&lt;R&gt;1&lt;/R&gt;&lt;C&gt;1&lt;/C&gt;&lt;D xsi:type="xsd:double"&gt;27.3718727943523&lt;/D&gt;&lt;/FQL&gt;&lt;FQL&gt;&lt;Q&gt;GREK^FG_ROE(0)&lt;/Q&gt;&lt;R&gt;1&lt;/R&gt;&lt;C&gt;1&lt;/C&gt;&lt;D xsi:type="xsd:double"&gt;14.5547827934118&lt;/D&gt;&lt;/FQL&gt;&lt;FQL&gt;&lt;Q&gt;REFSAREPO-FDS^(SUBARRAY(NOT_NA(NO_REPEAT_F(FG_YIELD(NOW,-10AY,D))),0,1)-SUBARRAY(NOT_NA(NO_REPEAT_F(FG_YIELD(NOW,-10AY,D))),1,1))*100&lt;/Q&gt;&lt;R&gt;1&lt;/R&gt;&lt;C&gt;1&lt;/C&gt;&lt;D xsi:type="xsd:double"&gt;25&lt;/D&gt;&lt;/FQL&gt;&lt;FQL&gt;&lt;Q&gt;REFQALEND-FDS^PROPER_NAME(0,,,"SECURITY","NAME")&lt;/Q&gt;&lt;R&gt;1&lt;/R&gt;&lt;C&gt;1&lt;/C&gt;&lt;D xsi:type="xsd:string"&gt;Qatar Lending Rate - Overnight&lt;/D&gt;&lt;/FQL&gt;&lt;FQL&gt;&lt;Q&gt;REFKRBASE-FDS^FG_YIELD(NOW,,,0)&lt;/Q&gt;&lt;R&gt;1&lt;/R&gt;&lt;C&gt;1&lt;/C&gt;&lt;D xsi:type="xsd:double"&gt;3.5&lt;/D&gt;&lt;/FQL&gt;&lt;FQL&gt;&lt;Q&gt;REFPHRREPO-FDS^(SUBARRAY(NOT_NA(NO_REPEAT_F(FG_YIELD(NOW,-10AY,D))),0,1)-SUBARRAY(NOT_NA(NO_REPEAT_F(FG_YIELD(NOW,-10AY,D))),1,1))*100&lt;/Q&gt;&lt;R&gt;1&lt;/R&gt;&lt;C&gt;1&lt;/C&gt;&lt;D xsi:type="xsd:double"&gt;25&lt;/D&gt;&lt;/FQL&gt;&lt;FQL&gt;&lt;Q&gt;TRYAE10Y-FDS^PCTCHG(FG_YIELD(0,,,,"YTM"),FG_YIELD(-1AM,,,,"YTM"))&lt;/Q&gt;&lt;R&gt;0&lt;/R&gt;&lt;C&gt;0&lt;/C&gt;&lt;/FQL&gt;&lt;FQL&gt;&lt;Q&gt;TRYKR10Y-FDS^PCTCHG(FG_YIELD(0,,,,"YTM"),FG_YIELD(-3AM,,,,"YTM"))&lt;/Q&gt;&lt;R&gt;1&lt;/R&gt;&lt;C&gt;1&lt;/C&gt;&lt;D xsi:type="xsd:double"&gt;-12.201986&lt;/D&gt;&lt;/FQL&gt;&lt;FQL&gt;&lt;Q&gt;TIPSCL10Y-FDS^PCTCHG(FG_YIELD(0,,,,"YTM"),FG_YIELD(-1AM,,,,"YTM"))&lt;/Q&gt;&lt;R&gt;1&lt;/R&gt;&lt;C&gt;1&lt;/C&gt;&lt;D xsi:type="xsd:double"&gt;4.9216213&lt;/D&gt;&lt;/FQL&gt;&lt;FQL&gt;&lt;Q&gt;CC_TH^IMF_IFS_RCPI_Q(0)&lt;/Q&gt;&lt;R&gt;0&lt;/R&gt;&lt;C&gt;0&lt;/C&gt;&lt;/FQL&gt;&lt;FQL&gt;&lt;Q&gt;VWO^FMA_EVAL_EBIT(LTMA,NOW,NOW,M,"PORTAGG","MEANR")&lt;/Q&gt;&lt;R&gt;1&lt;/R&gt;&lt;C&gt;1&lt;/C&gt;&lt;D xsi:type="xsd:double"&gt;14.2543251547878&lt;/D&gt;&lt;/FQL&gt;&lt;FQL&gt;&lt;Q&gt;TUR^FMA_EVAL_EBIT(LTMA,NOW,NOW,M,"PORTAGG","MEANR")&lt;/Q&gt;&lt;R&gt;1&lt;/R&gt;&lt;C&gt;1&lt;/C&gt;&lt;D xsi:type="xsd:double"&gt;8.15599370062517&lt;/D&gt;&lt;/FQL&gt;&lt;FQL&gt;&lt;Q&gt;QAT^FMA_DIV_YLD(NTMA,NOW,NOW,M,"PORTAGG","MEANR")&lt;/Q&gt;&lt;R&gt;1&lt;/R&gt;&lt;C&gt;1&lt;/C&gt;&lt;D xsi:type="xsd:double"&gt;5.56133839115734&lt;/D&gt;&lt;/FQL&gt;&lt;FQL&gt;&lt;Q&gt;INDA^JULIAN(FMA_DIV_YLD(NTMA,NOW,NOW,M,"PORTAGG","MEANR").DATES)&lt;/Q&gt;&lt;R&gt;1&lt;/R&gt;&lt;C&gt;1&lt;/C&gt;&lt;D xsi:type="xsd:long"&gt;45471&lt;/D&gt;&lt;/FQL&gt;&lt;FQL&gt;&lt;Q&gt;EWZ^FG_FCF_YIELD_NTM(0)&lt;/Q&gt;&lt;R&gt;1&lt;/R&gt;&lt;C&gt;1&lt;/C&gt;&lt;D xsi:type="xsd:double"&gt;10.6904728586364&lt;/D&gt;&lt;/FQL&gt;&lt;FQL&gt;&lt;Q&gt;EWW^FMA_PE(LTM,0,,,"PORTAGG","MEANR")&lt;/Q&gt;&lt;R&gt;1&lt;/R&gt;&lt;C&gt;1&lt;/C&gt;&lt;D xsi:type="xsd:double"&gt;14.2388717274109&lt;/D&gt;&lt;/FQL&gt;&lt;FQL&gt;&lt;Q&gt;EPU^FMA_EVAL_EBITDA(NTMA,0,,,"PORTAGG","MEANR")&lt;/Q&gt;&lt;R&gt;1&lt;/R&gt;&lt;C&gt;1&lt;/C&gt;&lt;D xsi:type="xsd:double"&gt;6.32890769438802&lt;/D&gt;&lt;/FQL&gt;&lt;FQL&gt;&lt;Q&gt;EPHE^FMA_PE(NTMA,0,,,"PORTAGG","MEANR")&lt;/Q&gt;&lt;R&gt;1&lt;/R&gt;&lt;C&gt;1&lt;/C&gt;&lt;D xsi:type="xsd:double"&gt;9.47144542633203&lt;/D&gt;&lt;/FQL&gt;&lt;FQL&gt;&lt;Q&gt;GREK^FG_COMPANY_NAME&lt;/Q&gt;&lt;R&gt;1&lt;/R&gt;&lt;C&gt;1&lt;/C&gt;&lt;D xsi:type="xsd:string"&gt;Global X MSCI Greece ETF&lt;/D&gt;&lt;/FQL&gt;&lt;FQL&gt;&lt;Q&gt;TUR^FG_TOTAL_RETURNC(0,-1AM)&lt;/Q&gt;&lt;R&gt;1&lt;/R&gt;&lt;C&gt;1&lt;/C&gt;&lt;D xsi:type="xsd:double"&gt;4.667306&lt;/D&gt;&lt;/FQL&gt;&lt;FQL&gt;&lt;Q&gt;EPOL^FG_TOTAL_RETURNC(0,-3AM)&lt;/Q&gt;&lt;R&gt;1&lt;/R&gt;&lt;C&gt;1&lt;/C&gt;&lt;D xsi:type="xsd:double"&gt;6.597376&lt;/D&gt;&lt;/FQL&gt;&lt;FQL&gt;&lt;Q&gt;EIDO^FG_TOTAL_RETURNC(0,-1AM)&lt;/Q&gt;&lt;R&gt;1&lt;/R&gt;&lt;C&gt;1&lt;/C&gt;&lt;D xsi:type="xsd:double"&gt;9.847665&lt;/D&gt;&lt;/FQL&gt;&lt;FQL&gt;&lt;Q&gt;MCHI^FMA_COS_UP("EPS","1M",+1,NOW,,,"PORTAGG","MEANR")&lt;/Q&gt;&lt;R&gt;1&lt;/R&gt;&lt;C&gt;1&lt;/C&gt;&lt;D xsi:type="xsd:double"&gt;198&lt;/D&gt;&lt;/FQL&gt;&lt;FQL&gt;&lt;Q&gt;EWW^FMA_COS_UP("EPS","1M",+1,NOW,,,"PORTAGG","MEANR")&lt;/Q&gt;&lt;R&gt;1&lt;/R&gt;&lt;C&gt;1&lt;/C&gt;&lt;D xsi:type="xsd:double"&gt;18&lt;/D&gt;&lt;/FQL&gt;&lt;FQL&gt;&lt;Q&gt;ECH^SIZE(FG_CONSTITUENTS)&lt;/Q&gt;&lt;R&gt;1&lt;/R&gt;&lt;C&gt;1&lt;/C&gt;&lt;D xsi:type="xsd:long"&gt;30&lt;/D&gt;&lt;/FQL&gt;&lt;FQL&gt;&lt;Q&gt;VWO^FMA_EVAL_EBITDA(NTMA,0,,,"PORTAGG","MEANR")&lt;/Q&gt;&lt;R&gt;1&lt;/R&gt;&lt;C&gt;1&lt;/C&gt;&lt;D xsi:type="xsd:double"&gt;8.88619417459578&lt;/D&gt;&lt;/FQL&gt;&lt;FQL&gt;&lt;Q&gt;CNYA^FMA_EVAL_EBIT(LTMA,NOW,NOW,M,"PORTAGG","MEANR")&lt;/Q&gt;&lt;R&gt;1&lt;/R&gt;&lt;C&gt;1&lt;/C&gt;&lt;D xsi:type="xsd:double"&gt;16.1397598113944&lt;/D&gt;&lt;/FQL&gt;&lt;FQL&gt;&lt;Q&gt;TUR^FMA_EVAL_EBITDA(NTMA,0,,,"PORTAGG","MEANR")&lt;/Q&gt;&lt;R&gt;1&lt;/R&gt;&lt;C&gt;1&lt;/C&gt;&lt;D xsi:type="xsd:double"&gt;5.26599340682538&lt;/D&gt;&lt;/FQL&gt;&lt;FQL&gt;&lt;Q&gt;GREK^FMA_EVAL_EBIT(LTMA,NOW,NOW,M,"PORTAGG","MEANR")&lt;/Q&gt;&lt;R&gt;1&lt;/R&gt;&lt;C&gt;1&lt;/C&gt;&lt;D xsi:type="xsd:double"&gt;7.79566299774807&lt;/D&gt;&lt;/FQL&gt;&lt;FQL&gt;&lt;Q&gt;EPHE^FMA_PE(LTM,0,,,"PORTAGG","MEANR")&lt;/Q&gt;&lt;R&gt;1&lt;/R&gt;&lt;C&gt;1&lt;/C&gt;&lt;D xsi:type="xsd:double"&gt;10.581940230409&lt;/D&gt;&lt;/FQL&gt;&lt;FQL&gt;&lt;Q&gt;TRYMX10Y-FDS^PCTCHG(FG_YIELD(0,,,,"YTM"),FG_YIELD(-3AM,,,,"YTM"))&lt;/Q&gt;&lt;R&gt;1&lt;/R&gt;&lt;C&gt;1&lt;/C&gt;&lt;D xsi:type="xsd:double"&gt;1.1817715&lt;/D&gt;&lt;/FQL&gt;&lt;FQL&gt;&lt;Q&gt;EPU^FMA_DIV_YLD(NTMA,NOW,NOW,M,"PORTAGG","MEANR")&lt;/Q&gt;&lt;R&gt;1&lt;/R&gt;&lt;C&gt;1&lt;/C&gt;&lt;D xsi:type="xsd:double"&gt;4.04701652784087&lt;/D&gt;&lt;/FQL&gt;&lt;FQL&gt;&lt;Q&gt;KSA^FMA_RBICS_REV_CURRENT(30, LOC, "PORTAGG")&lt;/Q&gt;&lt;R&gt;1&lt;/R&gt;&lt;C&gt;1&lt;/C&gt;&lt;D xsi:type="xsd:double"&gt;42.6865051566542&lt;/D&gt;&lt;/FQL&gt;&lt;FQL&gt;&lt;Q&gt;REFCLMPR-FDS^(SUBARRAY(NOT_NA(NO_REPEAT_F(FG_YIELD(NOW,-10AY,D))),0,1)-SUBARRAY(NOT_NA(NO_REPEAT_F(FG_YIELD(NOW,-10AY,D))),1,1))*100&lt;/Q&gt;&lt;R&gt;1&lt;/R&gt;&lt;C&gt;1&lt;/C&gt;&lt;D xsi:type="xsd:double"&gt;-25&lt;/D&gt;&lt;/FQL&gt;&lt;FQL&gt;&lt;Q&gt;CC_KR^IMF_IFS_RCPI_Q(0)&lt;/Q&gt;&lt;R&gt;1&lt;/R&gt;&lt;C&gt;1&lt;/C&gt;&lt;D xsi:type="xsd:double"&gt;2.6691833&lt;/D&gt;&lt;/FQL&gt;&lt;FQL&gt;&lt;Q&gt;CC_QA^FG_COMPANY_NAME&lt;/Q&gt;&lt;R&gt;1&lt;/R&gt;&lt;C&gt;1&lt;/C&gt;&lt;D xsi:type="xsd:string"&gt;Qatar&lt;/D&gt;&lt;/FQL&gt;&lt;FQL&gt;&lt;Q&gt;USDBRL^FG_PRICE_CHANGE(0,-1AY)&lt;/Q&gt;&lt;R&gt;1&lt;/R&gt;&lt;C&gt;1&lt;/C&gt;&lt;D xsi:type="xsd:double"&gt;15.771902&lt;/D&gt;&lt;/FQL&gt;&lt;FQL&gt;&lt;Q&gt;SET-BKK^P_PRICE_RETURNS_PR('52W',2,-10AY,0,AM)&lt;/Q&gt;&lt;R&gt;121&lt;/R&gt;&lt;C&gt;1&lt;/C&gt;&lt;D xsi:type="xsd:double"&gt;3.1078815&lt;/D&gt;&lt;D xsi:type="xsd:double"&gt;10.323345&lt;/D&gt;&lt;D xsi:type="xsd:double"&gt;6.436944&lt;/D&gt;&lt;D xsi:type="xsd:double"&gt;4.0582895&lt;/D&gt;&lt;D xsi:type="xsd:double"&gt;11.689711&lt;/D&gt;&lt;D xsi:type="xsd:double"&gt;12.454796&lt;/D&gt;&lt;D xsi:type="xsd:double"&gt;18.52386&lt;/D&gt;&lt;D xsi:type="xsd:double"&gt;21.117329&lt;/D&gt;&lt;D xsi:type="xsd:double"&gt;12.30402&lt;/D&gt;&lt;D xsi:type="xsd:double"&gt;11.220348&lt;/D&gt;&lt;D xsi:type="xsd:double"&gt;8.175778&lt;/D&gt;&lt;D xsi:type="xsd:double"&gt;2.0213246&lt;/D&gt;&lt;D xsi:type="xsd:double"&gt;-3.6694288&lt;/D&gt;&lt;D xsi:type="xsd:double"&gt;-10.612178&lt;/D&gt;&lt;D xsi:type="xsd:double"&gt;-12.240017&lt;/D&gt;&lt;D xsi:type="xsd:double"&gt;-7.3133526&lt;/D&gt;&lt;D xsi:type="xsd:double"&gt;-12.207544&lt;/D&gt;&lt;D xsi:type="xsd:double"&gt;-15.286886&lt;/D&gt;&lt;D xsi:type="xsd:double"&gt;-17.543655&lt;/D&gt;&lt;D xsi:type="xsd:double"&gt;-17.486065&lt;/D&gt;&lt;D xsi:type="xsd:double"&gt;-9.698993&lt;/D&gt;&lt;D xsi:type="xsd:double"&gt;-9.627592&lt;/D&gt;&lt;D xsi:type="xsd:double"&gt;-9.181107&lt;/D&gt;&lt;D xsi:type="xsd:double"&gt;-6.1704993&lt;/D&gt;&lt;D xsi:type="xsd:double"&gt;0.35378933&lt;/D&gt;&lt;D xsi:type="xsd:double"&gt;11.575497&lt;/D&gt;&lt;D xsi:type="xsd:double"&gt;7.36593&lt;/D&gt;&lt;D xsi:type="xsd:double"&gt;4.895866&lt;/D&gt;&lt;D xsi:type="xsd:double"&gt;7.04813&lt;/D&gt;&lt;D xsi:type="xsd:double"&gt;18.482077&lt;/D&gt;&lt;D xsi:type="xsd:double"&gt;22.817348&lt;/D&gt;&lt;D xsi:type="xsd:double"&gt;22.458422&lt;/D&gt;&lt;D xsi:type="xsd:double"&gt;13.098108&lt;/D&gt;&lt;D xsi:type="xsd:double"&gt;10.677254&lt;/D&gt;&lt;D xsi:type="xsd:double"&gt;11.817932&lt;/D&gt;&lt;D xsi:type="xsd:double"&gt;11.244488&lt;/D&gt;&lt;D xsi:type="xsd:double"&gt;5.619967&lt;/D&gt;&lt;D xsi:type="xsd:double"&gt;1.2617946&lt;/D&gt;&lt;D xsi:type="xsd:double"&gt;12.049067&lt;/D&gt;&lt;D xsi:type="xsd:double"&gt;13.2646675&lt;/D&gt;&lt;D xsi:type="xsd:double"&gt;15.980601&lt;/D&gt;&lt;D xsi:type="xsd:double"&gt;13.788104&lt;/D&gt;&lt;D xsi:type="xsd:double"&gt;17.137014&lt;/D&gt;&lt;D xsi:type="xsd:double"&gt;14.692879&lt;/D&gt;&lt;D xsi:type="xsd:double"&gt;15.298724&lt;/D&gt;&lt;D xsi:type="xsd:double"&gt;14.532375&lt;/D&gt;&lt;D xsi:type="xsd:double"&gt;13.473881&lt;/D&gt;&lt;D xsi:type="xsd:double"&gt;3.6935449&lt;/D&gt;&lt;D xsi:type="xsd:double"&gt;4.5080423&lt;/D&gt;&lt;D xsi:type="xsd:double"&gt;7.7179074&lt;/D&gt;&lt;D xsi:type="xsd:double"&gt;4.616201&lt;/D&gt;&lt;D xsi:type="xsd:double"&gt;-0.9219289&lt;/D&gt;&lt;D xsi:type="xsd:double"&gt;-4.2647066&lt;/D&gt;&lt;D xsi:type="xsd:double"&gt;-7.5731277&lt;/D&gt;&lt;D xsi:type="xsd:double"&gt;-12.947142&lt;/D&gt;&lt;D xsi:type="xsd:double"&gt;-9.423614&lt;/D&gt;&lt;D xsi:type="xsd:double"&gt;-9.428883&lt;/D&gt;&lt;D xsi:type="xsd:double"&gt;-6.732255&lt;/D&gt;&lt;D xsi:type="xsd:double"&gt;-8.170968&lt;/D&gt;&lt;D xsi:type="xsd:double"&gt;4.052353&lt;/D&gt;&lt;D xsi:type="xsd:double"&gt;5.356157&lt;/D&gt;&lt;D xsi:type="xsd:double"&gt;-3.1230032&lt;/D&gt;&lt;D xsi:type="xsd:double"&gt;-6.2372866&lt;/D&gt;&lt;D xsi:type="xsd:double"&gt;-3.0589879&lt;/D&gt;&lt;D xsi:type="xsd:double"&gt;-1.7861485&lt;/D&gt;&lt;D xsi:type="xsd:double"&gt;-1.724416&lt;/D&gt;&lt;D xsi:type="xsd:double"&gt;1.2769699&lt;/D&gt;&lt;D xsi:type="xsd:double"&gt;-7.958007&lt;/D&gt;&lt;D xsi:type="xsd:double"&gt;-35.942806&lt;/D&gt;&lt;D xsi:type="xsd:double"&gt;-25.93593&lt;/D&gt;&lt;D xsi:type="xsd:double"&gt;-18.54102&lt;/D&gt;&lt;D xsi:type="xsd:double"&gt;-19.646185&lt;/D&gt;&lt;D xsi:type="xsd:double"&gt;-20.90177&lt;/D&gt;&lt;D xsi:type="xsd:double"&gt;-20.069504&lt;/D&gt;&lt;D xsi:type="xsd:double"&gt;-22.111189&lt;/D&gt;&lt;D xsi:type="xsd:double"&gt;-25.90856&lt;/D&gt;&lt;D xsi:type="xsd:double"&gt;-14.797324&lt;/D&gt;&lt;D xsi:type="xsd:double"&gt;-5.2029076&lt;/D&gt;&lt;D xsi:type="xsd:double"&gt;-4.866666&lt;/D&gt;&lt;D xsi:type="xsd:double"&gt;-0.33410192&lt;/D&gt;&lt;D xsi:type="xsd:double"&gt;49.77734&lt;/D&gt;&lt;D xsi:type="xsd:double"&gt;27.086771&lt;/D&gt;&lt;D xsi:type="xsd:double"&gt;19.259512&lt;/D&gt;&lt;D xsi:type="xsd:double"&gt;17.48023&lt;/D&gt;&lt;D xsi:type="xsd:double"&gt;14.447844&lt;/D&gt;&lt;D xsi:type="xsd:double"&gt;18.003773&lt;/D&gt;&lt;D xsi:type="xsd:double"&gt;26.56883&lt;/D&gt;&lt;D xsi:type="xsd:double"&gt;34.88232&lt;/D&gt;&lt;D xsi:type="xsd:double"&gt;20.128227&lt;/D&gt;&lt;D xsi:type="xsd:double"&gt;10.636902&lt;/D&gt;&lt;D xsi:type="xsd:double"&gt;8.909166&lt;/D&gt;&lt;D xsi:type="xsd:double"&gt;13.37961&lt;/D&gt;&lt;D xsi:type="xsd:double"&gt;6.991887&lt;/D&gt;&lt;D xsi:type="xsd:double"&gt;6.3946486&lt;/D&gt;&lt;D xsi:type="xsd:double"&gt;2.799821&lt;/D&gt;&lt;D xsi:type="xsd:double"&gt;-3.6015213&lt;/D&gt;&lt;D xsi:type="xsd:double"&gt;-1.4511466&lt;/D&gt;&lt;D xsi:type="xsd:double"&gt;5.28661&lt;/D&gt;&lt;D xsi:type="xsd:double"&gt;0.36416054&lt;/D&gt;&lt;D xsi:type="xsd:double"&gt;-2.5558352&lt;/D&gt;&lt;D xsi:type="xsd:double"&gt;-2.0375311&lt;/D&gt;&lt;D xsi:type="xsd:double"&gt;-1.4332473&lt;/D&gt;&lt;D xsi:type="xsd:double"&gt;1.823616&lt;/D&gt;&lt;D xsi:type="xsd:double"&gt;-3.5002708&lt;/D&gt;&lt;D xsi:type="xsd:double"&gt;-7.0218086&lt;/D&gt;&lt;D xsi:type="xsd:double"&gt;-5.6629777&lt;/D&gt;&lt;D xsi:type="xsd:double"&gt;-5.6719246&lt;/D&gt;&lt;D xsi:type="xsd:double"&gt;-0.15839338&lt;/D&gt;&lt;D xsi:type="xsd:double"&gt;0.20933151&lt;/D&gt;&lt;D xsi:type="xsd:double"&gt;-7.148224&lt;/D&gt;&lt;D xsi:type="xsd:double"&gt;-6.656778&lt;/D&gt;&lt;D xsi:type="xsd:double"&gt;-10.428518&lt;/D&gt;&lt;D xsi:type="xsd:double"&gt;-12.332887&lt;/D&gt;&lt;D xsi:type="xsd:double"&gt;-13.79928&lt;/D&gt;&lt;D xsi:type="xsd:double"&gt;-18.121029&lt;/D&gt;&lt;D xsi:type="xsd:double"&gt;-16.004414&lt;/D&gt;&lt;D xsi:type="xsd:double"&gt;-11.58877&lt;/D&gt;&lt;D xsi:type="xsd:double"&gt;-15.730077&lt;/D&gt;&lt;D xsi:type="xsd:double"&gt;-9.197891&lt;/D&gt;&lt;D xsi:type="xsd:double"&gt;-16.256464&lt;/D&gt;&lt;D xsi:type="xsd:double"&gt;-14.284414&lt;/D&gt;&lt;/FQL&gt;&lt;FQL&gt;&lt;Q&gt;QAT^FG_TOTAL_RETURNC(-10AY,0,AM)&lt;/Q&gt;&lt;R&gt;121&lt;/R&gt;&lt;C&gt;1&lt;/C&gt;&lt;D xsi:type="xsd:double"&gt;8.770454&lt;/D&gt;&lt;D xsi:type="xsd:double"&gt;1.4660478&lt;/D&gt;&lt;D xsi:type="xsd:double"&gt;2.8897405&lt;/D&gt;&lt;D xsi:type="xsd:double"&gt;-8.203989&lt;/D&gt;&lt;D xsi:type="xsd:double"&gt;6.159425&lt;/D&gt;&lt;D xsi:type="xsd:double"&gt;-12.097084&lt;/D&gt;&lt;D xsi:type="xsd:double"&gt;0.1294136&lt;/D&gt;&lt;D xsi:type="xsd:double"&gt;4.69625&lt;/D&gt;&lt;D xsi:type="xsd:double"&gt;-6.7977486&lt;/D&gt;&lt;D xsi:type="xsd:double"&gt;3.148985&lt;/D&gt;&lt;D xsi:type="xsd:double"&gt;3.8541079&lt;/D&gt;&lt;D xsi:type="xsd:double"&gt;-4.659706&lt;/D&gt;&lt;D xsi:type="xsd:double"&gt;0.6278038&lt;/D&gt;&lt;D xsi:type="xsd:double"&gt;-4.523176&lt;/D&gt;&lt;D xsi:type="xsd:double"&gt;-1.7269492&lt;/D&gt;&lt;D xsi:type="xsd:double"&gt;4.0133&lt;/D&gt;&lt;D xsi:type="xsd:double"&gt;-8.447493&lt;/D&gt;&lt;D xsi:type="xsd:double"&gt;-10.623437&lt;/D&gt;&lt;D xsi:type="xsd:double"&gt;-9.066099&lt;/D&gt;&lt;D xsi:type="xsd:double"&gt;13.294447&lt;/D&gt;&lt;D xsi:type="xsd:double"&gt;7.100272&lt;/D&gt;&lt;D xsi:type="xsd:double"&gt;0.10122061&lt;/D&gt;&lt;D xsi:type="xsd:double"&gt;-5.5106163&lt;/D&gt;&lt;D xsi:type="xsd:double"&gt;-0.42803884&lt;/D&gt;&lt;D xsi:type="xsd:double"&gt;8.020735&lt;/D&gt;&lt;D xsi:type="xsd:double"&gt;8.021665&lt;/D&gt;&lt;D xsi:type="xsd:double"&gt;-10.8166275&lt;/D&gt;&lt;D xsi:type="xsd:double"&gt;3.90898&lt;/D&gt;&lt;D xsi:type="xsd:double"&gt;-5.831492&lt;/D&gt;&lt;D xsi:type="xsd:double"&gt;5.016041&lt;/D&gt;&lt;D xsi:type="xsd:double"&gt;4.682648&lt;/D&gt;&lt;D xsi:type="xsd:double"&gt;-0.14237165&lt;/D&gt;&lt;D xsi:type="xsd:double"&gt;-4.2871294&lt;/D&gt;&lt;D xsi:type="xsd:double"&gt;4.279685&lt;/D&gt;&lt;D xsi:type="xsd:double"&gt;-4.7533455&lt;/D&gt;&lt;D xsi:type="xsd:double"&gt;-8.180386&lt;/D&gt;&lt;D xsi:type="xsd:double"&gt;5.700803&lt;/D&gt;&lt;D xsi:type="xsd:double"&gt;-5.564934&lt;/D&gt;&lt;D xsi:type="xsd:double"&gt;-7.0238056&lt;/D&gt;&lt;D xsi:type="xsd:double"&gt;-3.8412273&lt;/D&gt;&lt;D xsi:type="xsd:double"&gt;-10.324902&lt;/D&gt;&lt;D xsi:type="xsd:double"&gt;18.127525&lt;/D&gt;&lt;D xsi:type="xsd:double"&gt;9.365177&lt;/D&gt;&lt;D xsi:type="xsd:double"&gt;-5.057466&lt;/D&gt;&lt;D xsi:type="xsd:double"&gt;0.9079933&lt;/D&gt;&lt;D xsi:type="xsd:double"&gt;3.2993317&lt;/D&gt;&lt;D xsi:type="xsd:double"&gt;-3.3101022&lt;/D&gt;&lt;D xsi:type="xsd:double"&gt;2.0793676&lt;/D&gt;&lt;D xsi:type="xsd:double"&gt;4.2742968&lt;/D&gt;&lt;D xsi:type="xsd:double"&gt;1.6219378&lt;/D&gt;&lt;D xsi:type="xsd:double"&gt;2.7858377&lt;/D&gt;&lt;D xsi:type="xsd:double"&gt;2.315092&lt;/D&gt;&lt;D xsi:type="xsd:double"&gt;4.3046236&lt;/D&gt;&lt;D xsi:type="xsd:double"&gt;1.0118008&lt;/D&gt;&lt;D xsi:type="xsd:double"&gt;4.2171955&lt;/D&gt;&lt;D xsi:type="xsd:double"&gt;-9.914017&lt;/D&gt;&lt;D xsi:type="xsd:double"&gt;1.1791229&lt;/D&gt;&lt;D xsi:type="xsd:double"&gt;5.156493&lt;/D&gt;&lt;D xsi:type="xsd:double"&gt;-7.067311&lt;/D&gt;&lt;D xsi:type="xsd:double"&gt;4.533577&lt;/D&gt;&lt;D xsi:type="xsd:double"&gt;-0.39392114&lt;/D&gt;&lt;D xsi:type="xsd:double"&gt;-6.2242928&lt;/D&gt;&lt;D xsi:type="xsd:double"&gt;7.23989&lt;/D&gt;&lt;D xsi:type="xsd:double"&gt;0.8511305&lt;/D&gt;&lt;D xsi:type="xsd:double"&gt;-1.7157376&lt;/D&gt;&lt;D xsi:type="xsd:double"&gt;0.03684759&lt;/D&gt;&lt;D xsi:type="xsd:double"&gt;4.362607&lt;/D&gt;&lt;D xsi:type="xsd:double"&gt;-8.116179&lt;/D&gt;&lt;D xsi:type="xsd:double"&gt;-8.951253&lt;/D&gt;&lt;D xsi:type="xsd:double"&gt;1.2978554&lt;/D&gt;&lt;D xsi:type="xsd:double"&gt;1.8206358&lt;/D&gt;&lt;D xsi:type="xsd:double"&gt;5.4034233&lt;/D&gt;&lt;D xsi:type="xsd:double"&gt;4.2441607&lt;/D&gt;&lt;D xsi:type="xsd:double"&gt;2.9492497&lt;/D&gt;&lt;D xsi:type="xsd:double"&gt;2.7507186&lt;/D&gt;&lt;D xsi:type="xsd:double"&gt;-0.5315125&lt;/D&gt;&lt;D xsi:type="xsd:double"&gt;0.6464958&lt;/D&gt;&lt;D xsi:type="xsd:double"&gt;3.0083537&lt;/D&gt;&lt;D xsi:type="xsd:double"&gt;2.8123379&lt;/D&gt;&lt;D xsi:type="xsd:double"&gt;-3.6822736&lt;/D&gt;&lt;D xsi:type="xsd:double"&gt;0.7646203&lt;/D&gt;&lt;D xsi:type="xsd:double"&gt;5.4742455&lt;/D&gt;&lt;D xsi:type="xsd:double"&gt;0.43679476&lt;/D&gt;&lt;D xsi:type="xsd:double"&gt;-2.0937502&lt;/D&gt;&lt;D xsi:type="xsd:double"&gt;0.16721487&lt;/D&gt;&lt;D xsi:type="xsd:double"&gt;5.1338673&lt;/D&gt;&lt;D xsi:type="xsd:double"&gt;0.13899803&lt;/D&gt;&lt;D xsi:type="xsd:double"&gt;5.2684903&lt;/D&gt;&lt;D xsi:type="xsd:double"&gt;1.7805576&lt;/D&gt;&lt;D xsi:type="xsd:double"&gt;-4.0257635&lt;/D&gt;&lt;D xsi:type="xsd:double"&gt;8.51779&lt;/D&gt;&lt;D xsi:type="xsd:double"&gt;3.1232834&lt;/D&gt;&lt;D xsi:type="xsd:double"&gt;5.430913&lt;/D&gt;&lt;D xsi:type="xsd:double"&gt;2.7633905&lt;/D&gt;&lt;D xsi:type="xsd:double"&gt;-6.968218&lt;/D&gt;&lt;D xsi:type="xsd:double"&gt;-4.170072&lt;/D&gt;&lt;D xsi:type="xsd:double"&gt;-1.499027&lt;/D&gt;&lt;D xsi:type="xsd:double"&gt;13.106096&lt;/D&gt;&lt;D xsi:type="xsd:double"&gt;-7.2580633&lt;/D&gt;&lt;D xsi:type="xsd:double"&gt;-1.7391324&lt;/D&gt;&lt;D xsi:type="xsd:double"&gt;-2.8518796&lt;/D&gt;&lt;D xsi:type="xsd:double"&gt;-9.194958&lt;/D&gt;&lt;D xsi:type="xsd:double"&gt;-0.47821403&lt;/D&gt;&lt;D xsi:type="xsd:double"&gt;-2.4559498&lt;/D&gt;&lt;D xsi:type="xsd:double"&gt;-4.214561&lt;/D&gt;&lt;D xsi:type="xsd:double"&gt;2.342856&lt;/D&gt;&lt;D xsi:type="xsd:double"&gt;7.7051997&lt;/D&gt;&lt;D xsi:type="xsd:double"&gt;-2.4306297&lt;/D&gt;&lt;D xsi:type="xsd:double"&gt;-0.3865242&lt;/D&gt;&lt;D xsi:type="xsd:double"&gt;1.1640787&lt;/D&gt;&lt;D xsi:type="xsd:double"&gt;-3.7534237&lt;/D&gt;&lt;D xsi:type="xsd:double"&gt;-5.152297&lt;/D&gt;&lt;D xsi:type="xsd:double"&gt;5.8223248&lt;/D&gt;&lt;D xsi:type="xsd:double"&gt;-1.0209799&lt;/D&gt;&lt;D xsi:type="xsd:double"&gt;0.74498653&lt;/D&gt;&lt;D xsi:type="xsd:double"&gt;-0.10238886&lt;/D&gt;&lt;D xsi:type="xsd:double"&gt;3.6897779&lt;/D&gt;&lt;D xsi:type="xsd:double"&gt;-4.33827&lt;/D&gt;&lt;D xsi:type="xsd:double"&gt;0.51665306&lt;/D&gt;&lt;D xsi:type="xsd:double"&gt;-0.8016825&lt;/D&gt;&lt;D xsi:type="xsd:double"&gt;2.1699905&lt;/D&gt;&lt;/FQL&gt;&lt;FQL&gt;&lt;Q&gt;INDA^FMA_DIV_YLD(NTMA,-10AY,0,AM,"PORTAGG","MEANR")&lt;/Q&gt;&lt;R&gt;121&lt;/R&gt;&lt;C&gt;1&lt;/C&gt;&lt;D xsi:type="xsd:double"&gt;1.58928133863583&lt;/D&gt;&lt;D xsi:type="xsd:double"&gt;1.57613573444693&lt;/D&gt;&lt;D xsi:type="xsd:double"&gt;1.54522893530312&lt;/D&gt;&lt;D xsi:type="xsd:double"&gt;1.65213422279381&lt;/D&gt;&lt;D xsi:type="xsd:double"&gt;1.54578765738618&lt;/D&gt;&lt;D xsi:type="xsd:double"&gt;1.59407988581039&lt;/D&gt;&lt;D xsi:type="xsd:double"&gt;1.53956822496622&lt;/D&gt;&lt;D xsi:type="xsd:double"&gt;1.45662846341571&lt;/D&gt;&lt;D xsi:type="xsd:double"&gt;1.50332930879068&lt;/D&gt;&lt;D xsi:type="xsd:double"&gt;1.53819667528978&lt;/D&gt;&lt;D xsi:type="xsd:double"&gt;1.64075425368827&lt;/D&gt;&lt;D xsi:type="xsd:double"&gt;1.67915125372527&lt;/D&gt;&lt;D xsi:type="xsd:double"&gt;1.53796708356432&lt;/D&gt;&lt;D xsi:type="xsd:double"&gt;1.54883309179092&lt;/D&gt;&lt;D xsi:type="xsd:double"&gt;1.66513352036237&lt;/D&gt;&lt;D xsi:type="xsd:double"&gt;1.63684222846699&lt;/D&gt;&lt;D xsi:type="xsd:double"&gt;1.74364408075239&lt;/D&gt;&lt;D xsi:type="xsd:double"&gt;1.73234693400013&lt;/D&gt;&lt;D xsi:type="xsd:double"&gt;1.79582125919349&lt;/D&gt;&lt;D xsi:type="xsd:double"&gt;1.82595763510149&lt;/D&gt;&lt;D xsi:type="xsd:double"&gt;1.74929402463923&lt;/D&gt;&lt;D xsi:type="xsd:double"&gt;1.69250380489334&lt;/D&gt;&lt;D xsi:type="xsd:double"&gt;1.71594646067052&lt;/D&gt;&lt;D xsi:type="xsd:double"&gt;1.61554341079756&lt;/D&gt;&lt;D xsi:type="xsd:double"&gt;1.55373562610089&lt;/D&gt;&lt;D xsi:type="xsd:double"&gt;1.54184825807342&lt;/D&gt;&lt;D xsi:type="xsd:double"&gt;1.52124282116143&lt;/D&gt;&lt;D xsi:type="xsd:double"&gt;1.54755688422659&lt;/D&gt;&lt;D xsi:type="xsd:double"&gt;1.71667816522577&lt;/D&gt;&lt;D xsi:type="xsd:double"&gt;1.69514174726334&lt;/D&gt;&lt;D xsi:type="xsd:double"&gt;1.65201689915579&lt;/D&gt;&lt;D xsi:type="xsd:double"&gt;1.59829124108808&lt;/D&gt;&lt;D xsi:type="xsd:double"&gt;1.54784383746729&lt;/D&gt;&lt;D xsi:type="xsd:double"&gt;1.58280751747742&lt;/D&gt;&lt;D xsi:type="xsd:double"&gt;1.595548939264&lt;/D&gt;&lt;D xsi:type="xsd:double"&gt;1.60963047928661&lt;/D&gt;&lt;D xsi:type="xsd:double"&gt;1.55579191731949&lt;/D&gt;&lt;D xsi:type="xsd:double"&gt;1.55494876900827&lt;/D&gt;&lt;D xsi:type="xsd:double"&gt;1.51715965679261&lt;/D&gt;&lt;D xsi:type="xsd:double"&gt;1.533788418676&lt;/D&gt;&lt;D xsi:type="xsd:double"&gt;1.53121236865849&lt;/D&gt;&lt;D xsi:type="xsd:double"&gt;1.51972801288455&lt;/D&gt;&lt;D xsi:type="xsd:double"&gt;1.46341560027189&lt;/D&gt;&lt;D xsi:type="xsd:double"&gt;1.56758747456767&lt;/D&gt;&lt;D xsi:type="xsd:double"&gt;1.61919442572572&lt;/D&gt;&lt;D xsi:type="xsd:double"&gt;1.60187147674079&lt;/D&gt;&lt;D xsi:type="xsd:double"&gt;1.64867039985946&lt;/D&gt;&lt;D xsi:type="xsd:double"&gt;1.60916454564644&lt;/D&gt;&lt;D xsi:type="xsd:double"&gt;1.59641115407227&lt;/D&gt;&lt;D xsi:type="xsd:double"&gt;1.50643174536114&lt;/D&gt;&lt;D xsi:type="xsd:double"&gt;1.53681299417923&lt;/D&gt;&lt;D xsi:type="xsd:double"&gt;1.70901378657708&lt;/D&gt;&lt;D xsi:type="xsd:double"&gt;1.63588140830592&lt;/D&gt;&lt;D xsi:type="xsd:double"&gt;1.61874828595379&lt;/D&gt;&lt;D xsi:type="xsd:double"&gt;1.65105203526482&lt;/D&gt;&lt;D xsi:type="xsd:double"&gt;1.69286384058004&lt;/D&gt;&lt;D xsi:type="xsd:double"&gt;1.57567226777425&lt;/D&gt;&lt;D xsi:type="xsd:double"&gt;1.60426510531532&lt;/D&gt;&lt;D xsi:type="xsd:double"&gt;1.72043821020273&lt;/D&gt;&lt;D xsi:type="xsd:double"&gt;1.70433542750943&lt;/D&gt;&lt;D xsi:type="xsd:double"&gt;1.76946809034921&lt;/D&gt;&lt;D xsi:type="xsd:double"&gt;1.80678774743948&lt;/D&gt;&lt;D xsi:type="xsd:double"&gt;1.85654225054348&lt;/D&gt;&lt;D xsi:type="xsd:double"&gt;1.79079252512641&lt;/D&gt;&lt;D xsi:type="xsd:double"&gt;1.75067014241102&lt;/D&gt;&lt;D xsi:type="xsd:double"&gt;1.65259417969036&lt;/D&gt;&lt;D xsi:type="xsd:double"&gt;1.63652150269318&lt;/D&gt;&lt;D xsi:type="xsd:double"&gt;1.65633159137313&lt;/D&gt;&lt;D xsi:type="xsd:double"&gt;2.43416530995932&lt;/D&gt;&lt;D xsi:type="xsd:double"&gt;2.0503633134066&lt;/D&gt;&lt;D xsi:type="xsd:double"&gt;1.97920798673439&lt;/D&gt;&lt;D xsi:type="xsd:double"&gt;1.67228669841076&lt;/D&gt;&lt;D xsi:type="xsd:double"&gt;1.5682398119017&lt;/D&gt;&lt;D xsi:type="xsd:double"&gt;1.50824825080914&lt;/D&gt;&lt;D xsi:type="xsd:double"&gt;1.51932955365592&lt;/D&gt;&lt;D xsi:type="xsd:double"&gt;1.51080226437703&lt;/D&gt;&lt;D xsi:type="xsd:double"&gt;1.47378842263428&lt;/D&gt;&lt;D xsi:type="xsd:double"&gt;1.3506445422602&lt;/D&gt;&lt;D xsi:type="xsd:double"&gt;1.31870314785139&lt;/D&gt;&lt;D xsi:type="xsd:double"&gt;1.34007750509008&lt;/D&gt;&lt;D xsi:type="xsd:double"&gt;1.37391539064636&lt;/D&gt;&lt;D xsi:type="xsd:double"&gt;1.40181226037636&lt;/D&gt;&lt;D xsi:type="xsd:double"&gt;1.40233102413627&lt;/D&gt;&lt;D xsi:type="xsd:double"&gt;1.40276131057768&lt;/D&gt;&lt;D xsi:type="xsd:double"&gt;1.39949335830461&lt;/D&gt;&lt;D xsi:type="xsd:double"&gt;1.34074776584788&lt;/D&gt;&lt;D xsi:type="xsd:double"&gt;1.27395565479463&lt;/D&gt;&lt;D xsi:type="xsd:double"&gt;1.27497180110032&lt;/D&gt;&lt;D xsi:type="xsd:double"&gt;1.35193988098933&lt;/D&gt;&lt;D xsi:type="xsd:double"&gt;1.39313317420965&lt;/D&gt;&lt;D xsi:type="xsd:double"&gt;1.33920175911161&lt;/D&gt;&lt;D xsi:type="xsd:double"&gt;1.45556391127064&lt;/D&gt;&lt;D xsi:type="xsd:double"&gt;1.46079165444892&lt;/D&gt;&lt;D xsi:type="xsd:double"&gt;1.50116247504399&lt;/D&gt;&lt;D xsi:type="xsd:double"&gt;1.70833922560699&lt;/D&gt;&lt;D xsi:type="xsd:double"&gt;1.73342358035895&lt;/D&gt;&lt;D xsi:type="xsd:double"&gt;1.59971939837263&lt;/D&gt;&lt;D xsi:type="xsd:double"&gt;1.47155314331442&lt;/D&gt;&lt;D xsi:type="xsd:double"&gt;1.50498347476382&lt;/D&gt;&lt;D xsi:type="xsd:double"&gt;1.51852855362669&lt;/D&gt;&lt;D xsi:type="xsd:double"&gt;1.48866358971529&lt;/D&gt;&lt;D xsi:type="xsd:double"&gt;1.46163648750395&lt;/D&gt;&lt;D xsi:type="xsd:double"&gt;1.49884976329753&lt;/D&gt;&lt;D xsi:type="xsd:double"&gt;1.53941347775869&lt;/D&gt;&lt;D xsi:type="xsd:double"&gt;1.63288275679896&lt;/D&gt;&lt;D xsi:type="xsd:double"&gt;1.61398646239816&lt;/D&gt;&lt;D xsi:type="xsd:double"&gt;1.6221834462837&lt;/D&gt;&lt;D xsi:type="xsd:double"&gt;1.52823011957964&lt;/D&gt;&lt;D xsi:type="xsd:double"&gt;1.45100817526533&lt;/D&gt;&lt;D xsi:type="xsd:double"&gt;1.5142139898415&lt;/D&gt;&lt;D xsi:type="xsd:double"&gt;1.48776397030432&lt;/D&gt;&lt;D xsi:type="xsd:double"&gt;1.49898927977057&lt;/D&gt;&lt;D xsi:type="xsd:double"&gt;1.50080768443038&lt;/D&gt;&lt;D xsi:type="xsd:double"&gt;1.38519475710299&lt;/D&gt;&lt;D xsi:type="xsd:double"&gt;1.37070814236383&lt;/D&gt;&lt;D xsi:type="xsd:double"&gt;1.34840420340477&lt;/D&gt;&lt;D xsi:type="xsd:double"&gt;1.38639573944587&lt;/D&gt;&lt;D xsi:type="xsd:double"&gt;1.36447238471676&lt;/D&gt;&lt;D xsi:type="xsd:double"&gt;1.34733611205679&lt;/D&gt;&lt;D xsi:type="xsd:double"&gt;1.28035851975917&lt;/D&gt;&lt;D xsi:type="xsd:double"&gt;1.23885704917858&lt;/D&gt;&lt;/FQL&gt;&lt;FQL&gt;&lt;Q&gt;INDA^FMA_PE(NTMA,-10AY,0,AM,"PORTAGG","MEANR")&lt;/Q&gt;&lt;R&gt;121&lt;/R&gt;&lt;C&gt;1&lt;/C&gt;&lt;D xsi:type="xsd:double"&gt;16.4631343661138&lt;/D&gt;&lt;D xsi:type="xsd:double"&gt;16.662132917485&lt;/D&gt;&lt;D xsi:type="xsd:double"&gt;16.8454787955336&lt;/D&gt;&lt;D xsi:type="xsd:double"&gt;16.0204870182654&lt;/D&gt;&lt;D xsi:type="xsd:double"&gt;17.2394342771549&lt;/D&gt;&lt;D xsi:type="xsd:double"&gt;16.7269185599664&lt;/D&gt;&lt;D xsi:type="xsd:double"&gt;17.3709722653611&lt;/D&gt;&lt;D xsi:type="xsd:double"&gt;18.5887645708581&lt;/D&gt;&lt;D xsi:type="xsd:double"&gt;18.0748627156604&lt;/D&gt;&lt;D xsi:type="xsd:double"&gt;17.9890809828313&lt;/D&gt;&lt;D xsi:type="xsd:double"&gt;17.4967068878684&lt;/D&gt;&lt;D xsi:type="xsd:double"&gt;17.3337436820557&lt;/D&gt;&lt;D xsi:type="xsd:double"&gt;18.7260932784283&lt;/D&gt;&lt;D xsi:type="xsd:double"&gt;18.9093700827046&lt;/D&gt;&lt;D xsi:type="xsd:double"&gt;17.6740777824187&lt;/D&gt;&lt;D xsi:type="xsd:double"&gt;17.9980696900423&lt;/D&gt;&lt;D xsi:type="xsd:double"&gt;17.1218710277655&lt;/D&gt;&lt;D xsi:type="xsd:double"&gt;17.0727251778956&lt;/D&gt;&lt;D xsi:type="xsd:double"&gt;16.2579051438815&lt;/D&gt;&lt;D xsi:type="xsd:double"&gt;16.5615402617308&lt;/D&gt;&lt;D xsi:type="xsd:double"&gt;17.1126043892995&lt;/D&gt;&lt;D xsi:type="xsd:double"&gt;17.5427465066436&lt;/D&gt;&lt;D xsi:type="xsd:double"&gt;17.1567314704201&lt;/D&gt;&lt;D xsi:type="xsd:double"&gt;17.521122375317&lt;/D&gt;&lt;D xsi:type="xsd:double"&gt;18.0637439429005&lt;/D&gt;&lt;D xsi:type="xsd:double"&gt;18.1275086142388&lt;/D&gt;&lt;D xsi:type="xsd:double"&gt;17.9738693874459&lt;/D&gt;&lt;D xsi:type="xsd:double"&gt;17.6491238532003&lt;/D&gt;&lt;D xsi:type="xsd:double"&gt;16.0804730817845&lt;/D&gt;&lt;D xsi:type="xsd:double"&gt;16.1530800158378&lt;/D&gt;&lt;D xsi:type="xsd:double"&gt;16.7402997443165&lt;/D&gt;&lt;D xsi:type="xsd:double"&gt;17.6601497883186&lt;/D&gt;&lt;D xsi:type="xsd:double"&gt;17.9922840093869&lt;/D&gt;&lt;D xsi:type="xsd:double"&gt;17.8648831256988&lt;/D&gt;&lt;D xsi:type="xsd:double"&gt;18.1273423151261&lt;/D&gt;&lt;D xsi:type="xsd:double"&gt;18.1635068575153&lt;/D&gt;&lt;D xsi:type="xsd:double"&gt;18.7787867122689&lt;/D&gt;&lt;D xsi:type="xsd:double"&gt;18.6130695862644&lt;/D&gt;&lt;D xsi:type="xsd:double"&gt;19.0451207993412&lt;/D&gt;&lt;D xsi:type="xsd:double"&gt;18.6858733075309&lt;/D&gt;&lt;D xsi:type="xsd:double"&gt;18.708040797051&lt;/D&gt;&lt;D xsi:type="xsd:double"&gt;18.9193412805813&lt;/D&gt;&lt;D xsi:type="xsd:double"&gt;19.3467426187323&lt;/D&gt;&lt;D xsi:type="xsd:double"&gt;18.3976652615247&lt;/D&gt;&lt;D xsi:type="xsd:double"&gt;17.7117381872854&lt;/D&gt;&lt;D xsi:type="xsd:double"&gt;18.4108242730023&lt;/D&gt;&lt;D xsi:type="xsd:double"&gt;17.9041888385877&lt;/D&gt;&lt;D xsi:type="xsd:double"&gt;18.5310210791045&lt;/D&gt;&lt;D xsi:type="xsd:double"&gt;18.5717722066649&lt;/D&gt;&lt;D xsi:type="xsd:double"&gt;19.6882777528549&lt;/D&gt;&lt;D xsi:type="xsd:double"&gt;19.1516675301791&lt;/D&gt;&lt;D xsi:type="xsd:double"&gt;17.071879527172&lt;/D&gt;&lt;D xsi:type="xsd:double"&gt;18.1514010809577&lt;/D&gt;&lt;D xsi:type="xsd:double"&gt;18.3094551368199&lt;/D&gt;&lt;D xsi:type="xsd:double"&gt;17.9892849709342&lt;/D&gt;&lt;D xsi:type="xsd:double"&gt;17.7059771025802&lt;/D&gt;&lt;D xsi:type="xsd:double"&gt;19.0477772406411&lt;/D&gt;&lt;D xsi:type="xsd:double"&gt;18.9454741358223&lt;/D&gt;&lt;D xsi:type="xsd:double"&gt;18.4023638156031&lt;/D&gt;&lt;D xsi:type="xsd:double"&gt;18.7103283191821&lt;/D&gt;&lt;D xsi:type="xsd:double"&gt;18.3239291322363&lt;/D&gt;&lt;D xsi:type="xsd:double"&gt;18.1509002066746&lt;/D&gt;&lt;D xsi:type="xsd:double"&gt;17.5626680039044&lt;/D&gt;&lt;D xsi:type="xsd:double"&gt;18.6166598363439&lt;/D&gt;&lt;D xsi:type="xsd:double"&gt;19.2531944398291&lt;/D&gt;&lt;D xsi:type="xsd:double"&gt;19.3148954703263&lt;/D&gt;&lt;D xsi:type="xsd:double"&gt;19.434313093443&lt;/D&gt;&lt;D xsi:type="xsd:double"&gt;19.2816860052612&lt;/D&gt;&lt;D xsi:type="xsd:double"&gt;13.2830046309489&lt;/D&gt;&lt;D xsi:type="xsd:double"&gt;16.6840945738101&lt;/D&gt;&lt;D xsi:type="xsd:double"&gt;17.9993866239987&lt;/D&gt;&lt;D xsi:type="xsd:double"&gt;21.9072707885368&lt;/D&gt;&lt;D xsi:type="xsd:double"&gt;23.3362946805622&lt;/D&gt;&lt;D xsi:type="xsd:double"&gt;23.7235154119052&lt;/D&gt;&lt;D xsi:type="xsd:double"&gt;23.2556064712174&lt;/D&gt;&lt;D xsi:type="xsd:double"&gt;22.9112456730866&lt;/D&gt;&lt;D xsi:type="xsd:double"&gt;22.6504900016959&lt;/D&gt;&lt;D xsi:type="xsd:double"&gt;24.2058999964275&lt;/D&gt;&lt;D xsi:type="xsd:double"&gt;24.3190906248541&lt;/D&gt;&lt;D xsi:type="xsd:double"&gt;23.4604293709443&lt;/D&gt;&lt;D xsi:type="xsd:double"&gt;22.997981854231&lt;/D&gt;&lt;D xsi:type="xsd:double"&gt;22.0797876622425&lt;/D&gt;&lt;D xsi:type="xsd:double"&gt;22.6609647929486&lt;/D&gt;&lt;D xsi:type="xsd:double"&gt;23.2580794007428&lt;/D&gt;&lt;D xsi:type="xsd:double"&gt;22.9580167590722&lt;/D&gt;&lt;D xsi:type="xsd:double"&gt;23.7938539974691&lt;/D&gt;&lt;D xsi:type="xsd:double"&gt;24.766451911711&lt;/D&gt;&lt;D xsi:type="xsd:double"&gt;24.9296855097841&lt;/D&gt;&lt;D xsi:type="xsd:double"&gt;23.6581313389251&lt;/D&gt;&lt;D xsi:type="xsd:double"&gt;22.7570536204758&lt;/D&gt;&lt;D xsi:type="xsd:double"&gt;23.4792242249836&lt;/D&gt;&lt;D xsi:type="xsd:double"&gt;22.0660890609313&lt;/D&gt;&lt;D xsi:type="xsd:double"&gt;21.9012401607248&lt;/D&gt;&lt;D xsi:type="xsd:double"&gt;21.5910197736249&lt;/D&gt;&lt;D xsi:type="xsd:double"&gt;19.8945870984227&lt;/D&gt;&lt;D xsi:type="xsd:double"&gt;19.3492131284744&lt;/D&gt;&lt;D xsi:type="xsd:double"&gt;20</t>
        </r>
      </text>
    </comment>
    <comment ref="A16" authorId="0" shapeId="0" xr:uid="{62105AF4-AE6E-45AF-B6B7-D8F7C4FE9576}">
      <text>
        <r>
          <rPr>
            <b/>
            <sz val="9"/>
            <color indexed="81"/>
            <rFont val="Tahoma"/>
            <charset val="1"/>
          </rPr>
          <t>.7233597092973&lt;/D&gt;&lt;D xsi:type="xsd:double"&gt;22.7554242985151&lt;/D&gt;&lt;D xsi:type="xsd:double"&gt;22.2968562792588&lt;/D&gt;&lt;D xsi:type="xsd:double"&gt;21.7129874846263&lt;/D&gt;&lt;D xsi:type="xsd:double"&gt;22.3901106610147&lt;/D&gt;&lt;D xsi:type="xsd:double"&gt;22.51533163839&lt;/D&gt;&lt;D xsi:type="xsd:double"&gt;21.7760276899156&lt;/D&gt;&lt;D xsi:type="xsd:double"&gt;20.984624582141&lt;/D&gt;&lt;D xsi:type="xsd:double"&gt;19.8137818377296&lt;/D&gt;&lt;D xsi:type="xsd:double"&gt;20.1332136937694&lt;/D&gt;&lt;D xsi:type="xsd:double"&gt;20.8015798727377&lt;/D&gt;&lt;D xsi:type="xsd:double"&gt;21.6704030593459&lt;/D&gt;&lt;D xsi:type="xsd:double"&gt;21.8790658488068&lt;/D&gt;&lt;D xsi:type="xsd:double"&gt;20.6705635317035&lt;/D&gt;&lt;D xsi:type="xsd:double"&gt;21.0875852934798&lt;/D&gt;&lt;D xsi:type="xsd:double"&gt;20.4541443244395&lt;/D&gt;&lt;D xsi:type="xsd:double"&gt;20.3842889459073&lt;/D&gt;&lt;D xsi:type="xsd:double"&gt;21.8540937004826&lt;/D&gt;&lt;D xsi:type="xsd:double"&gt;22.1055415872555&lt;/D&gt;&lt;D xsi:type="xsd:double"&gt;22.6110029603837&lt;/D&gt;&lt;D xsi:type="xsd:double"&gt;21.7834892882444&lt;/D&gt;&lt;D xsi:type="xsd:double"&gt;22.1663505060344&lt;/D&gt;&lt;D xsi:type="xsd:double"&gt;22.5916404572232&lt;/D&gt;&lt;D xsi:type="xsd:double"&gt;23.5212601662872&lt;/D&gt;&lt;D xsi:type="xsd:double"&gt;24.1909581601823&lt;/D&gt;&lt;/FQL&gt;&lt;FQL&gt;&lt;Q&gt;MCHI^FMA_PE(LTMA,-10AY,0,AM,"PORTAGG","MEANR")&lt;/Q&gt;&lt;R&gt;121&lt;/R&gt;&lt;C&gt;1&lt;/C&gt;&lt;D xsi:type="xsd:double"&gt;9.46022818763465&lt;/D&gt;&lt;D xsi:type="xsd:double"&gt;9.777104162109&lt;/D&gt;&lt;D xsi:type="xsd:double"&gt;9.59221300400955&lt;/D&gt;&lt;D xsi:type="xsd:double"&gt;9.17625037973829&lt;/D&gt;&lt;D xsi:type="xsd:double"&gt;9.36169143678718&lt;/D&gt;&lt;D xsi:type="xsd:double"&gt;9.81613032921189&lt;/D&gt;&lt;D xsi:type="xsd:double"&gt;10.4351891737562&lt;/D&gt;&lt;D xsi:type="xsd:double"&gt;10.7526674729742&lt;/D&gt;&lt;D xsi:type="xsd:double"&gt;10.8137591142621&lt;/D&gt;&lt;D xsi:type="xsd:double"&gt;11.4303913288356&lt;/D&gt;&lt;D xsi:type="xsd:double"&gt;11.5351321829479&lt;/D&gt;&lt;D xsi:type="xsd:double"&gt;11.2501196025121&lt;/D&gt;&lt;D xsi:type="xsd:double"&gt;10.7748449992067&lt;/D&gt;&lt;D xsi:type="xsd:double"&gt;10.3051820738288&lt;/D&gt;&lt;D xsi:type="xsd:double"&gt;9.97536323040676&lt;/D&gt;&lt;D xsi:type="xsd:double"&gt;10.4006852934969&lt;/D&gt;&lt;D xsi:type="xsd:double"&gt;10.155584601967&lt;/D&gt;&lt;D xsi:type="xsd:double"&gt;9.80346947132303&lt;/D&gt;&lt;D xsi:type="xsd:double"&gt;9.62176009559222&lt;/D&gt;&lt;D xsi:type="xsd:double"&gt;9.51230528485257&lt;/D&gt;&lt;D xsi:type="xsd:double"&gt;9.48988967935135&lt;/D&gt;&lt;D xsi:type="xsd:double"&gt;9.73987216819092&lt;/D&gt;&lt;D xsi:type="xsd:double"&gt;9.53274783139244&lt;/D&gt;&lt;D xsi:type="xsd:double"&gt;10.1475767773986&lt;/D&gt;&lt;D xsi:type="xsd:double"&gt;10.8668706382101&lt;/D&gt;&lt;D xsi:type="xsd:double"&gt;11.7892619991218&lt;/D&gt;&lt;D xsi:type="xsd:double"&gt;12.4489596949069&lt;/D&gt;&lt;D xsi:type="xsd:double"&gt;12.8735449446795&lt;/D&gt;&lt;D xsi:type="xsd:double"&gt;12.8659446542223&lt;/D&gt;&lt;D xsi:type="xsd:double"&gt;12.8516073953979&lt;/D&gt;&lt;D xsi:type="xsd:double"&gt;13.6425701295479&lt;/D&gt;&lt;D xsi:type="xsd:double"&gt;14.2183509246564&lt;/D&gt;&lt;D xsi:type="xsd:double"&gt;14.0740118522163&lt;/D&gt;&lt;D xsi:type="xsd:double"&gt;13.8754637313983&lt;/D&gt;&lt;D xsi:type="xsd:double"&gt;14.0549673027467&lt;/D&gt;&lt;D xsi:type="xsd:double"&gt;14.1138142947102&lt;/D&gt;&lt;D xsi:type="xsd:double"&gt;14.4141633169963&lt;/D&gt;&lt;D xsi:type="xsd:double"&gt;14.5279429603773&lt;/D&gt;&lt;D xsi:type="xsd:double"&gt;14.9336152142808&lt;/D&gt;&lt;D xsi:type="xsd:double"&gt;15.0603117523029&lt;/D&gt;&lt;D xsi:type="xsd:double"&gt;15.5431934900854&lt;/D&gt;&lt;D xsi:type="xsd:double"&gt;15.2056324526889&lt;/D&gt;&lt;D xsi:type="xsd:double"&gt;16.3783065844923&lt;/D&gt;&lt;D xsi:type="xsd:double"&gt;15.5831009622648&lt;/D&gt;&lt;D xsi:type="xsd:double"&gt;15.3317912185393&lt;/D&gt;&lt;D xsi:type="xsd:double"&gt;14.906901024107&lt;/D&gt;&lt;D xsi:type="xsd:double"&gt;14.8331945830796&lt;/D&gt;&lt;D xsi:type="xsd:double"&gt;14.4986066618109&lt;/D&gt;&lt;D xsi:type="xsd:double"&gt;14.1152568841297&lt;/D&gt;&lt;D xsi:type="xsd:double"&gt;13.4716900753172&lt;/D&gt;&lt;D xsi:type="xsd:double"&gt;13.1943223708916&lt;/D&gt;&lt;D xsi:type="xsd:double"&gt;12.1505442755392&lt;/D&gt;&lt;D xsi:type="xsd:double"&gt;12.2567147534618&lt;/D&gt;&lt;D xsi:type="xsd:double"&gt;11.6140208617367&lt;/D&gt;&lt;D xsi:type="xsd:double"&gt;12.1060163622242&lt;/D&gt;&lt;D xsi:type="xsd:double"&gt;12.6563610618658&lt;/D&gt;&lt;D xsi:type="xsd:double"&gt;12.8774718068497&lt;/D&gt;&lt;D xsi:type="xsd:double"&gt;12.9481365114158&lt;/D&gt;&lt;D xsi:type="xsd:double"&gt;12.5506542525448&lt;/D&gt;&lt;D xsi:type="xsd:double"&gt;12.5956374497576&lt;/D&gt;&lt;D xsi:type="xsd:double"&gt;12.67069057234&lt;/D&gt;&lt;D xsi:type="xsd:double"&gt;12.3775098581688&lt;/D&gt;&lt;D xsi:type="xsd:double"&gt;12.5982264528848&lt;/D&gt;&lt;D xsi:type="xsd:double"&gt;12.41739762313&lt;/D&gt;&lt;D xsi:type="xsd:double"&gt;12.5827360036618&lt;/D&gt;&lt;D xsi:type="xsd:double"&gt;13.5653874257577&lt;/D&gt;&lt;D xsi:type="xsd:double"&gt;14.1395606266508&lt;/D&gt;&lt;D xsi:type="xsd:double"&gt;13.9124710076395&lt;/D&gt;&lt;D xsi:type="xsd:double"&gt;12.6942949136401&lt;/D&gt;&lt;D xsi:type="xsd:double"&gt;13.1355574041188&lt;/D&gt;&lt;D xsi:type="xsd:double"&gt;13.4199827000419&lt;/D&gt;&lt;D xsi:type="xsd:double"&gt;14.126085786944&lt;/D&gt;&lt;D xsi:type="xsd:double"&gt;14.8515853380287&lt;/D&gt;&lt;D xsi:type="xsd:double"&gt;15.3287510681711&lt;/D&gt;&lt;D xsi:type="xsd:double"&gt;15.8381462711168&lt;/D&gt;&lt;D xsi:type="xsd:double"&gt;16.6644435470447&lt;/D&gt;&lt;D xsi:type="xsd:double"&gt;16.9661988341968&lt;/D&gt;&lt;D xsi:type="xsd:double"&gt;18.0774263000968&lt;/D&gt;&lt;D xsi:type="xsd:double"&gt;20.5509629871371&lt;/D&gt;&lt;D xsi:type="xsd:double"&gt;21.8725042729214&lt;/D&gt;&lt;D xsi:type="xsd:double"&gt;19.5857844008787&lt;/D&gt;&lt;D xsi:type="xsd:double"&gt;19.2194336543345&lt;/D&gt;&lt;D xsi:type="xsd:double"&gt;18.736423181002&lt;/D&gt;&lt;D xsi:type="xsd:double"&gt;18.7436467536924&lt;/D&gt;&lt;D xsi:type="xsd:double"&gt;18.0676608081896&lt;/D&gt;&lt;D xsi:type="xsd:double"&gt;16.442998401456&lt;/D&gt;&lt;D xsi:type="xsd:double"&gt;16.3877372494358&lt;/D&gt;&lt;D xsi:type="xsd:double"&gt;16.4069824514256&lt;/D&gt;&lt;D xsi:type="xsd:double"&gt;15.480091700179&lt;/D&gt;&lt;D xsi:type="xsd:double"&gt;14.2421177405929&lt;/D&gt;&lt;D xsi:type="xsd:double"&gt;14.1290601896062&lt;/D&gt;&lt;D xsi:type="xsd:double"&gt;13.8394302545316&lt;/D&gt;&lt;D xsi:type="xsd:double"&gt;12.8295098272785&lt;/D&gt;&lt;D xsi:type="xsd:double"&gt;12.5792975808411&lt;/D&gt;&lt;D xsi:type="xsd:double"&gt;12.4775726067773&lt;/D&gt;&lt;D xsi:type="xsd:double"&gt;12.8586503330183&lt;/D&gt;&lt;D xsi:type="xsd:double"&gt;12.7492849366016&lt;/D&gt;&lt;D xsi:type="xsd:double"&gt;12.315284182945&lt;/D&gt;&lt;D xsi:type="xsd:double"&gt;12.0251472813104&lt;/D&gt;&lt;D xsi:type="xsd:double"&gt;10.8774132418288&lt;/D&gt;&lt;D xsi:type="xsd:double"&gt;11.6064122859015&lt;/D&gt;&lt;D xsi:type="xsd:double"&gt;12.2100688953402&lt;/D&gt;&lt;D xsi:type="xsd:double"&gt;13.659967940047&lt;/D&gt;&lt;D xsi:type="xsd:double"&gt;12.9532304269536&lt;/D&gt;&lt;D xsi:type="xsd:double"&gt;12.2679197674857&lt;/D&gt;&lt;D xsi:type="xsd:double"&gt;12.2707580906531&lt;/D&gt;&lt;D xsi:type="xsd:double"&gt;11.9658130504557&lt;/D&gt;&lt;D xsi:type="xsd:double"&gt;12.1222210358317&lt;/D&gt;&lt;D xsi:type="xsd:double"&gt;11.8208061122784&lt;/D&gt;&lt;D xsi:type="xsd:double"&gt;11.543520925331&lt;/D&gt;&lt;D xsi:type="xsd:double"&gt;11.6342730250854&lt;/D&gt;&lt;D xsi:type="xsd:double"&gt;11.0702210514532&lt;/D&gt;&lt;D xsi:type="xsd:double"&gt;11.2293349026467&lt;/D&gt;&lt;D xsi:type="xsd:double"&gt;10.640451484335&lt;/D&gt;&lt;D xsi:type="xsd:double"&gt;9.87643346293607&lt;/D&gt;&lt;D xsi:type="xsd:double"&gt;10.3981291487266&lt;/D&gt;&lt;D xsi:type="xsd:double"&gt;10.4451978660748&lt;/D&gt;&lt;D xsi:type="xsd:double"&gt;10.3355153748369&lt;/D&gt;&lt;D xsi:type="xsd:double"&gt;10.9430219265445&lt;/D&gt;&lt;D xsi:type="xsd:double"&gt;10.5243034822973&lt;/D&gt;&lt;D xsi:type="xsd:double"&gt;10.3691215784708&lt;/D&gt;&lt;/FQL&gt;&lt;FQL&gt;&lt;Q&gt;DDR3512M-FDS^FG_PRICE_CHANGE(0,-1AM)&lt;/Q&gt;&lt;R&gt;1&lt;/R&gt;&lt;C&gt;1&lt;/C&gt;&lt;D xsi:type="xsd:double"&gt;-2.85605315547826&lt;/D&gt;&lt;/FQL&gt;&lt;FQL&gt;&lt;Q&gt;NI-FDS^MAX(FG_PRICE(0,-5AY))&lt;/Q&gt;&lt;R&gt;1&lt;/R&gt;&lt;C&gt;1&lt;/C&gt;&lt;D xsi:type="xsd:double"&gt;48241&lt;/D&gt;&lt;/FQL&gt;&lt;FQL&gt;&lt;Q&gt;BRENT-FDS^FG_PRICE(0)&lt;/Q&gt;&lt;R&gt;1&lt;/R&gt;&lt;C&gt;1&lt;/C&gt;&lt;D xsi:type="xsd:double"&gt;85.86&lt;/D&gt;&lt;/FQL&gt;&lt;FQL&gt;&lt;Q&gt;FTSEWIVNXXXX^FG_PRICE(0)&lt;/Q&gt;&lt;R&gt;1&lt;/R&gt;&lt;C&gt;1&lt;/C&gt;&lt;D xsi:type="xsd:double"&gt;363.59203665&lt;/D&gt;&lt;/FQL&gt;&lt;FQL&gt;&lt;Q&gt;SET-BKK^FG_PRICE_MAVG(0,,,,30)&lt;/Q&gt;&lt;R&gt;1&lt;/R&gt;&lt;C&gt;1&lt;/C&gt;&lt;D xsi:type="xsd:double"&gt;1312.362&lt;/D&gt;&lt;/FQL&gt;&lt;FQL&gt;&lt;Q&gt;EZA^FG_PRICE_MAVG(0,,,,60)&lt;/Q&gt;&lt;R&gt;1&lt;/R&gt;&lt;C&gt;1&lt;/C&gt;&lt;D xsi:type="xsd:double"&gt;42.410168&lt;/D&gt;&lt;/FQL&gt;&lt;FQL&gt;&lt;Q&gt;ECH^FG_PRICE_MAVG(0,,,,30)&lt;/Q&gt;&lt;R&gt;1&lt;/R&gt;&lt;C&gt;1&lt;/C&gt;&lt;D xsi:type="xsd:double"&gt;26.583&lt;/D&gt;&lt;/FQL&gt;&lt;FQL&gt;&lt;Q&gt;VNM^FG_TOTAL_RETURNC(0,-3AM)&lt;/Q&gt;&lt;R&gt;1&lt;/R&gt;&lt;C&gt;1&lt;/C&gt;&lt;D xsi:type="xsd:double"&gt;1.6877651&lt;/D&gt;&lt;/FQL&gt;&lt;FQL&gt;&lt;Q&gt;INDA^FMA_PCT_ABOVE_MAVG(200,0,,,,"PORTAGG")&lt;/Q&gt;&lt;R&gt;1&lt;/R&gt;&lt;C&gt;1&lt;/C&gt;&lt;D xsi:type="xsd:double"&gt;91.8367346938776&lt;/D&gt;&lt;/FQL&gt;&lt;FQL&gt;&lt;Q&gt;EWZ^P_PRICE(0)/P_PRICE_HIGH_PR(0,,,,,,"PRICE","INTRA","52W")&lt;/Q&gt;&lt;R&gt;1&lt;/R&gt;&lt;C&gt;1&lt;/C&gt;&lt;D xsi:type="xsd:double"&gt;0.7834359&lt;/D&gt;&lt;/FQL&gt;&lt;FQL&gt;&lt;Q&gt;EWM^FG_TOTAL_RETURNC(0,-6AM)&lt;/Q&gt;&lt;R&gt;1&lt;/R&gt;&lt;C&gt;1&lt;/C&gt;&lt;D xsi:type="xsd:double"&gt;12.579166&lt;/D&gt;&lt;/FQL&gt;&lt;FQL&gt;&lt;Q&gt;KSA^FMA_PE(NTMA,0,,,"PORTAGG","MEANR")&lt;/Q&gt;&lt;R&gt;1&lt;/R&gt;&lt;C&gt;1&lt;/C&gt;&lt;D xsi:type="xsd:double"&gt;17.2921826025323&lt;/D&gt;&lt;/FQL&gt;&lt;FQL&gt;&lt;Q&gt;TRYPE10Y-FDS^FG_YIELD(0,,,,"YTM")&lt;/Q&gt;&lt;R&gt;1&lt;/R&gt;&lt;C&gt;1&lt;/C&gt;&lt;D xsi:type="xsd:double"&gt;6.947008&lt;/D&gt;&lt;/FQL&gt;&lt;FQL&gt;&lt;Q&gt;EZA^FG_COMPANY_NAME&lt;/Q&gt;&lt;R&gt;1&lt;/R&gt;&lt;C&gt;1&lt;/C&gt;&lt;D xsi:type="xsd:string"&gt;iShares MSCI South Africa ETF&lt;/D&gt;&lt;/FQL&gt;&lt;FQL&gt;&lt;Q&gt;REFMXTON-FDS^(SUBARRAY(NOT_NA(NO_REPEAT_F(FG_YIELD(NOW,-10AY,D))),0,1)-SUBARRAY(NOT_NA(NO_REPEAT_F(FG_YIELD(NOW,-10AY,D))),1,1))*100&lt;/Q&gt;&lt;R&gt;1&lt;/R&gt;&lt;C&gt;1&lt;/C&gt;&lt;D xsi:type="xsd:double"&gt;-25&lt;/D&gt;&lt;/FQL&gt;&lt;FQL&gt;&lt;Q&gt;TRYCN10Y-FDS^PCTCHG(FG_YIELD(0,,,,"YTM"),FG_YIELD(-1AM,,,,"YTM"))&lt;/Q&gt;&lt;R&gt;1&lt;/R&gt;&lt;C&gt;1&lt;/C&gt;&lt;D xsi:type="xsd:double"&gt;0.1544906&lt;/D&gt;&lt;/FQL&gt;&lt;FQL&gt;&lt;Q&gt;KSA^JULIAN(FMA_DIV_YLD(NTMA,NOW,NOW,M,"PORTAGG","MEANR").DATES)&lt;/Q&gt;&lt;R&gt;1&lt;/R&gt;&lt;C&gt;1&lt;/C&gt;&lt;D xsi:type="xsd:long"&gt;45471&lt;/D&gt;&lt;/FQL&gt;&lt;FQL&gt;&lt;Q&gt;QAT^FMA_PE(LTM,0,,,"PORTAGG","MEANR")&lt;/Q&gt;&lt;R&gt;1&lt;/R&gt;&lt;C&gt;1&lt;/C&gt;&lt;D xsi:type="xsd:double"&gt;11.3534467197202&lt;/D&gt;&lt;/FQL&gt;&lt;FQL&gt;&lt;Q&gt;EWT^FMA_EVAL_EBIT(LTMA,NOW,NOW,M,"PORTAGG","MEANR")&lt;/Q&gt;&lt;R&gt;1&lt;/R&gt;&lt;C&gt;1&lt;/C&gt;&lt;D xsi:type="xsd:double"&gt;20.2847621478122&lt;/D&gt;&lt;/FQL&gt;&lt;FQL&gt;&lt;Q&gt;CNYA^FMA_PE(LTM,0,,,"PORTAGG","MEANR")&lt;/Q&gt;&lt;R&gt;1&lt;/R&gt;&lt;C&gt;1&lt;/C&gt;&lt;D xsi:type="xsd:double"&gt;14.1779602477483&lt;/D&gt;&lt;/FQL&gt;&lt;FQL&gt;&lt;Q&gt;USDTRY^STD(FG_PRICE_CHANGE(0,-3AY,M))&lt;/Q&gt;&lt;R&gt;1&lt;/R&gt;&lt;C&gt;1&lt;/C&gt;&lt;D xsi:type="xsd:double"&gt;7.58143701650948&lt;/D&gt;&lt;/FQL&gt;&lt;FQL&gt;&lt;Q&gt;USDINR^STD(FG_PRICE_CHANGE(0,-3AY,M))&lt;/Q&gt;&lt;R&gt;1&lt;/R&gt;&lt;C&gt;1&lt;/C&gt;&lt;D xsi:type="xsd:double"&gt;0.951727911649945&lt;/D&gt;&lt;/FQL&gt;&lt;FQL&gt;&lt;Q&gt;USDMYR^FG_PRICE_CHANGE(0,-6AM)&lt;/Q&gt;&lt;R&gt;1&lt;/R&gt;&lt;C&gt;1&lt;/C&gt;&lt;D xsi:type="xsd:double"&gt;-0.6359339&lt;/D&gt;&lt;/FQL&gt;&lt;FQL&gt;&lt;Q&gt;USDIDR^STD(FG_PRICE_CHANGE(0,-3AY,M))&lt;/Q&gt;&lt;R&gt;1&lt;/R&gt;&lt;C&gt;1&lt;/C&gt;&lt;D xsi:type="xsd:double"&gt;1.53270078957672&lt;/D&gt;&lt;/FQL&gt;&lt;FQL&gt;&lt;Q&gt;VNM^FMA_EPS(NTMA,-20AY,0,CY,,"PORTAGG","MEANR")&lt;/Q&gt;&lt;R&gt;20&lt;/R&gt;&lt;C&gt;1&lt;/C&gt;&lt;D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xsi:type="xsd:double"&gt;1.76556929798562&lt;/D&gt;&lt;D xsi:type="xsd:double"&gt;1.77344510490664&lt;/D&gt;&lt;D xsi:type="xsd:double"&gt;1.79926295005356&lt;/D&gt;&lt;D xsi:type="xsd:double"&gt;2.1935186011017&lt;/D&gt;&lt;D xsi:type="xsd:double"&gt;2.03454772468732&lt;/D&gt;&lt;D xsi:type="xsd:double"&gt;1.57039558296485&lt;/D&gt;&lt;D xsi:type="xsd:double"&gt;1.29980601244052&lt;/D&gt;&lt;D xsi:type="xsd:double"&gt;1.03619480330304&lt;/D&gt;&lt;D xsi:type="xsd:double"&gt;0.937220389578586&lt;/D&gt;&lt;D xsi:type="xsd:double"&gt;1.03904047410582&lt;/D&gt;&lt;D xsi:type="xsd:double"&gt;1.11601822049313&lt;/D&gt;&lt;D xsi:type="xsd:double"&gt;1.03737378869621&lt;/D&gt;&lt;D xsi:type="xsd:double"&gt;1.2888433367428&lt;/D&gt;&lt;D xsi:type="xsd:double"&gt;1.11127493241856&lt;/D&gt;&lt;D xsi:type="xsd:double"&gt;0.886057292428813&lt;/D&gt;&lt;/FQL&gt;&lt;FQL&gt;&lt;Q&gt;GREK^FMA_PE(LTMA,-10AY,0,AM,"PORTAGG","MEANR")&lt;/Q&gt;&lt;R&gt;121&lt;/R&gt;&lt;C&gt;1&lt;/C&gt;&lt;D xsi:type="xsd:double"&gt;23.7572297992183&lt;/D&gt;&lt;D xsi:type="xsd:double"&gt;21.320443578295&lt;/D&gt;&lt;D xsi:type="xsd:double"&gt;19.6748753282309&lt;/D&gt;&lt;D xsi:type="xsd:double"&gt;17.2483823387288&lt;/D&gt;&lt;D xsi:type="xsd:double"&gt;17.3625279440245&lt;/D&gt;&lt;D xsi:type="xsd:double"&gt;17.7058619010352&lt;/D&gt;&lt;D xsi:type="xsd:double"&gt;12.640628831804&lt;/D&gt;&lt;D xsi:type="xsd:double"&gt;15.357377937407&lt;/D&gt;&lt;D xsi:type="xsd:double"&gt;17.2725255231199&lt;/D&gt;&lt;D xsi:type="xsd:double"&gt;16.2725125263857&lt;/D&gt;&lt;D xsi:type="xsd:double"&gt;15.0792515869259&lt;/D&gt;&lt;D xsi:type="xsd:double"&gt;14.0539418811798&lt;/D&gt;&lt;D xsi:type="xsd:double"&gt;13.0432561795631&lt;/D&gt;&lt;D xsi:type="xsd:double"&gt;12.0883354265242&lt;/D&gt;&lt;D xsi:type="xsd:double"&gt;11.4949751616457&lt;/D&gt;&lt;D xsi:type="xsd:double"&gt;10.5482368676583&lt;/D&gt;&lt;D xsi:type="xsd:double"&gt;11.7097820844937&lt;/D&gt;&lt;D xsi:type="xsd:double"&gt;-3.04419806302451&lt;/D&gt;&lt;D xsi:type="xsd:double"&gt;-1.23917715029879&lt;/D&gt;&lt;D xsi:type="xsd:double"&gt;-0.285524686126579&lt;/D&gt;&lt;D xsi:type="xsd:double"&gt;0.374744619336467&lt;/D&gt;&lt;D xsi:type="xsd:double"&gt;2.05383394344733&lt;/D&gt;&lt;D xsi:type="xsd:double"&gt;3.53888006430104&lt;/D&gt;&lt;D xsi:type="xsd:double"&gt;4.02846820667862&lt;/D&gt;&lt;D xsi:type="xsd:double"&gt;5.46289754936928&lt;/D&gt;&lt;D xsi:type="xsd:double"&gt;6.40726431176666&lt;/D&gt;&lt;D xsi:type="xsd:double"&gt;8.50010312332023&lt;/D&gt;&lt;D xsi:type="xsd:double"&gt;10.91640797116&lt;/D&gt;&lt;D xsi:type="xsd:double"&gt;13.221595281469&lt;/D&gt;&lt;D xsi:type="xsd:double"&gt;13.9676559018512&lt;/D&gt;&lt;D xsi:type="xsd:double"&gt;14.2574208375675&lt;/D&gt;&lt;D xsi:type="xsd:double"&gt;13.7103696081201&lt;/D&gt;&lt;D xsi:type="xsd:double"&gt;14.1720550964735&lt;/D&gt;&lt;D xsi:type="xsd:double"&gt;14.206308263818&lt;/D&gt;&lt;D xsi:type="xsd:double"&gt;15.2254232546863&lt;/D&gt;&lt;D xsi:type="xsd:double"&gt;15.1949238144512&lt;/D&gt;&lt;D xsi:type="xsd:double"&gt;15.5628117215797&lt;/D&gt;&lt;D xsi:type="xsd:double"&gt;15.1756915167422&lt;/D&gt;&lt;D xsi:type="xsd:double"&gt;14.4274635533693&lt;/D&gt;&lt;D xsi:type="xsd:double"&gt;16.1041441088351&lt;/D&gt;&lt;D xsi:type="xsd:double"&gt;16.0170298764663&lt;/D&gt;&lt;D xsi:type="xsd:double"&gt;20.2264472060229&lt;/D&gt;&lt;D xsi:type="xsd:double"&gt;22.4100716447663&lt;/D&gt;&lt;D xsi:type="xsd:double"&gt;24.061362925449&lt;/D&gt;&lt;D xsi:type="xsd:double"&gt;23.2737242271387&lt;/D&gt;&lt;D xsi:type="xsd:double"&gt;22.9128610030962&lt;/D&gt;&lt;D xsi:type="xsd:double"&gt;21.713815153881&lt;/D&gt;&lt;D xsi:type="xsd:double"&gt;21.7711518924383&lt;/D&gt;&lt;D xsi:type="xsd:double"&gt;21.2737796099093&lt;/D&gt;&lt;D xsi:type="xsd:double"&gt;20.8329168517876&lt;/D&gt;&lt;D xsi:type="xsd:double"&gt;21.8385820576485&lt;/D&gt;&lt;D xsi:type="xsd:double"&gt;18.9752989448462&lt;/D&gt;&lt;D xsi:type="xsd:double"&gt;18.0726444867173&lt;/D&gt;&lt;D xsi:type="xsd:double"&gt;15.5077218911863&lt;/D&gt;&lt;D xsi:type="xsd:double"&gt;15.2796263922145&lt;/D&gt;&lt;D xsi:type="xsd:double"&gt;18.7512946256556&lt;/D&gt;&lt;D xsi:type="xsd:double"&gt;18.5391588406653&lt;/D&gt;&lt;D xsi:type="xsd:double"&gt;18.4386086373376&lt;/D&gt;&lt;D xsi:type="xsd:double"&gt;17.7153177617696&lt;/D&gt;&lt;D xsi:type="xsd:double"&gt;17.785829931789&lt;/D&gt;&lt;D xsi:type="xsd:double"&gt;18.3150773079066&lt;/D&gt;&lt;D xsi:type="xsd:double"&gt;18.5075796230192&lt;/D&gt;&lt;D xsi:type="xsd:double"&gt;20.0667775273577&lt;/D&gt;&lt;D xsi:type="xsd:double"&gt;15.8439278438645&lt;/D&gt;&lt;D xsi:type="xsd:double"&gt;15.4805093252631&lt;/D&gt;&lt;D xsi:type="xsd:double"&gt;17.0625376895817&lt;/D&gt;&lt;D xsi:type="xsd:double"&gt;18.8132669674532&lt;/D&gt;&lt;D xsi:type="xsd:double"&gt;15.6902738466263&lt;/D&gt;&lt;D xsi:type="xsd:double"&gt;11.7021148091001&lt;/D&gt;&lt;D xsi:type="xsd:double"&gt;11.9187737642511&lt;/D&gt;&lt;D xsi:type="xsd:double"&gt;12.3101456745132&lt;/D&gt;&lt;D xsi:type="xsd:double"&gt;14.761185520551&lt;/D&gt;&lt;D xsi:type="xsd:double"&gt;15.1494132170946&lt;/D&gt;&lt;D xsi:type="xsd:double"&gt;15.1814334134424&lt;/D&gt;&lt;D xsi:type="xsd:double"&gt;16.1274079668633&lt;/D&gt;&lt;D xsi:type="xsd:double"&gt;14.1900548072751&lt;/D&gt;&lt;D xsi:type="xsd:double"&gt;15.8575215123034&lt;/D&gt;&lt;D xsi:type="xsd:double"&gt;18.7695823650643&lt;/D&gt;&lt;D xsi:type="xsd:double"&gt;17.8522632189684&lt;/D&gt;&lt;D xsi:type="xsd:double"&gt;17.7312789069838&lt;/D&gt;&lt;D xsi:type="xsd:double"&gt;17.5351087047963&lt;/D&gt;&lt;D xsi:type="xsd:double"&gt;17.2787386659531&lt;/D&gt;&lt;D xsi:type="xsd:double"&gt;15.6531679763079&lt;/D&gt;&lt;D xsi:type="xsd:double"&gt;17.0350128892689&lt;/D&gt;&lt;D xsi:type="xsd:double"&gt;15.7176946386208&lt;/D&gt;&lt;D xsi:type="xsd:double"&gt;15.5974434895512&lt;/D&gt;&lt;D xsi:type="xsd:double"&gt;14.0882788764975&lt;/D&gt;&lt;D xsi:type="xsd:double"&gt;14.2155078918005&lt;/D&gt;&lt;D xsi:type="xsd:double"&gt;17.1588518902407&lt;/D&gt;&lt;D xsi:type="xsd:double"&gt;12.6848068054663&lt;/D&gt;&lt;D xsi:type="xsd:double"&gt;-65.5598751951872&lt;/D&gt;&lt;D xsi:type="xsd:double"&gt;-185.935017983562&lt;/D&gt;&lt;D xsi:type="xsd:double"&gt;-90.3025372305091&lt;/D&gt;&lt;D xsi:type="xsd:double"&gt;-78.8836042000539&lt;/D&gt;&lt;D xsi:type="xsd:double"&gt;-68.841257236134&lt;/D&gt;&lt;D xsi:type="xsd:double"&gt;-59.0395055375685&lt;/D&gt;&lt;D xsi:type="xsd:double"&gt;-48.468724002791&lt;/D&gt;&lt;D xsi:type="xsd:double"&gt;-37.381473579408&lt;/D&gt;&lt;D xsi:type="xsd:double"&gt;-28.2501246481403&lt;/D&gt;&lt;D xsi:type="xsd:double"&gt;-17.9095223712685&lt;/D&gt;&lt;D xsi:type="xsd:double"&gt;-8.42278742596644&lt;/D&gt;&lt;D xsi:type="xsd:double"&gt;2.10353521544973&lt;/D&gt;&lt;D xsi:type="xsd:double"&gt;6.23072206834977&lt;/D&gt;&lt;D xsi:type="xsd:double"&gt;7.86355280337806&lt;/D&gt;&lt;D xsi:type="xsd:double"&gt;7.62674195467989&lt;/D&gt;&lt;D xsi:type="xsd:double"&gt;7.6754237145818&lt;/D&gt;&lt;D xsi:type="xsd:double"&gt;7.49710823731284&lt;/D&gt;&lt;D xsi:type="xsd:double"&gt;8.0272349814125&lt;/D&gt;&lt;D xsi:type="xsd:double"&gt;8.13049445722411&lt;/D&gt;&lt;D xsi:type="xsd:double"&gt;7.49001405035684&lt;/D&gt;&lt;D xsi:type="xsd:double"&gt;7.03111399458385&lt;/D&gt;&lt;D xsi:type="xsd:double"&gt;6.74291759201838&lt;/D&gt;&lt;D xsi:type="xsd:double"&gt;6.74274797147695&lt;/D&gt;&lt;D xsi:type="xsd:double"&gt;6.38555671261859&lt;/D&gt;&lt;D xsi:type="xsd:double"&gt;6.40188531094718&lt;/D&gt;&lt;D xsi:type="xsd:double"&gt;6.6994419397394&lt;/D&gt;&lt;D xsi:type="xsd:double"&gt;6.76263858628161&lt;/D&gt;&lt;D xsi:type="xsd:double"&gt;6.75862160246726&lt;/D&gt;&lt;D xsi:type="xsd:double"&gt;6.88973702510473&lt;/D&gt;&lt;D xsi:type="xsd:double"&gt;6.78795640441713&lt;/D&gt;&lt;D xsi:type="xsd:double"&gt;6.7689718534394&lt;/D&gt;&lt;/FQL&gt;&lt;FQL&gt;&lt;Q&gt;CPALM-FDS^FG_PRICE_CHANGE(0,-3AM)&lt;/Q&gt;&lt;R&gt;1&lt;/R&gt;&lt;C&gt;1&lt;/C&gt;&lt;D xsi:type="xsd:double"&gt;-1.06015779092702&lt;/D&gt;&lt;/FQL&gt;&lt;FQL&gt;&lt;Q&gt;COPP-FDS^MAX(FG_PRICE(0,-5AY))&lt;/Q&gt;&lt;R&gt;1&lt;/R&gt;&lt;C&gt;1&lt;/C&gt;&lt;D xsi:type="xsd:double"&gt;5.119&lt;/D&gt;&lt;/FQL&gt;&lt;FQL&gt;&lt;Q&gt;EWM^FG_PRICE_MAVG(0,,,,60)&lt;/Q&gt;&lt;R&gt;1&lt;/R&gt;&lt;C&gt;1&lt;/C&gt;&lt;D xsi:type="xsd:double"&gt;22.8555&lt;/D&gt;&lt;/FQL&gt;&lt;FQL&gt;&lt;Q&gt;QAT^PERCENT_CHANGE(FMA_EPS(+1,0,,,,"PORTAGG","MEAN"),FMA_EPS(+1,-1AM,,,,"PORTAGG","MEAN"))&lt;/Q&gt;&lt;R&gt;1&lt;/R&gt;&lt;C&gt;1&lt;/C&gt;&lt;D xsi:type="xsd:double"&gt;-2.70163819874743&lt;/D&gt;&lt;/FQL&gt;&lt;FQL&gt;&lt;Q&gt;GREK^FG_TOTAL_RETURNC(0,-12AM)&lt;/Q&gt;&lt;R&gt;1&lt;/R&gt;&lt;C&gt;1&lt;/C&gt;&lt;D xsi:type="xsd:double"&gt;9.543085&lt;/D&gt;&lt;/FQL&gt;&lt;FQL&gt;&lt;Q&gt;EWW^FG_TOTAL_RETURNC(0,-6AM)&lt;/Q&gt;&lt;R&gt;1&lt;/R&gt;&lt;C&gt;1&lt;/C&gt;&lt;D xsi:type="xsd:double"&gt;-9.271944&lt;/D&gt;&lt;/FQL&gt;&lt;FQL&gt;&lt;Q&gt;EIDO^PERCENT_CHANGE(FMA_EPS(+1,0,,,,"PORTAGG","MEAN"),FMA_EPS(+1,-3AM,,,,"PORTAGG","MEAN"))&lt;/Q&gt;&lt;R&gt;1&lt;/R&gt;&lt;C&gt;1&lt;/C&gt;&lt;D xsi:type="xsd:double"&gt;-7.83702811017327&lt;/D&gt;&lt;/FQL&gt;&lt;FQL&gt;&lt;Q&gt;CNYA^PERCENT_CHANGE(FMA_EPS(+1,0,,,,"PORTAGG","MEAN"),FMA_EPS(+1,-1AM,,,,"PORTAGG","MEAN"))&lt;/Q&gt;&lt;R&gt;1&lt;/R&gt;&lt;C&gt;1&lt;/C&gt;&lt;D xsi:type="xsd:double"&gt;0.440728249529781&lt;/D&gt;&lt;/FQL&gt;&lt;FQL&gt;&lt;Q&gt;VGK^P_PRICE(0)/P_PRICE_LOW_PR(0,,,,,,"PRICE","INTRA","52W")-1&lt;/Q&gt;&lt;R&gt;1&lt;/R&gt;&lt;C&gt;1&lt;/C&gt;&lt;D xsi:type="xsd:double"&gt;0.22902286&lt;/D&gt;&lt;/FQL&gt;&lt;FQL&gt;&lt;Q&gt;VGK^FMA_PCT_ABOVE_MAVG(200,0,,,,"PORTAGG")&lt;/Q&gt;&lt;R&gt;1&lt;/R&gt;&lt;C&gt;1&lt;/C&gt;&lt;D xsi:type="xsd:double"&gt;73.2114467408585&lt;/D&gt;&lt;/FQL&gt;&lt;FQL&gt;&lt;Q&gt;KSA^FMA_COS_UP("EPS","1M",+1,NOW,,,"PORTAGG","MEANR")&lt;/Q&gt;&lt;R&gt;1&lt;/R&gt;&lt;C&gt;1&lt;/C&gt;&lt;D xsi:type="xsd:double"&gt;19&lt;/D&gt;&lt;/FQL&gt;&lt;FQL&gt;&lt;Q&gt;EWT^FMA_RBICS_REV_CURRENT(30, LOC, "PORTAGG")&lt;/Q&gt;&lt;R&gt;1&lt;/R&gt;&lt;C&gt;1&lt;/C&gt;&lt;D xsi:type="xsd:double"&gt;17.1261918631904&lt;/D&gt;&lt;/FQL&gt;&lt;FQL&gt;&lt;Q&gt;EZA^FG_ROE(0)&lt;/Q&gt;&lt;R&gt;1&lt;/R&gt;&lt;C&gt;1&lt;/C&gt;&lt;D xsi:type="xsd:double"&gt;14.1414106715456&lt;/D&gt;&lt;/FQL&gt;&lt;FQL&gt;&lt;Q&gt;REFSAREPO-FDS^FG_YIELD(NOW,,,0)&lt;/Q&gt;&lt;R&gt;1&lt;/R&gt;&lt;C&gt;1&lt;/C&gt;&lt;D xsi:type="xsd:double"&gt;6&lt;/D&gt;&lt;/FQL&gt;&lt;FQL&gt;&lt;Q&gt;REFCNRMB-FDS^(SUBARRAY(NOT_NA(NO_REPEAT_F(FG_YIELD(NOW,-10AY,D))),0,1)-SUBARRAY(NOT_NA(NO_REPEAT_F(FG_YIELD(NOW,-10AY,D))),1,1))*100&lt;/Q&gt;&lt;R&gt;1&lt;/R&gt;&lt;C&gt;1&lt;/C&gt;&lt;D xsi:type="xsd:double"&gt;-10&lt;/D&gt;&lt;/FQL&gt;&lt;FQL&gt;&lt;Q&gt;REFKRBASE-FDS^PROPER_NAME(0,,,"SECURITY","NAME")&lt;/Q&gt;&lt;R&gt;1&lt;/R&gt;&lt;C&gt;1&lt;/C&gt;&lt;D xsi:type="xsd:string"&gt;South Korea Base Rate&lt;/D&gt;&lt;/FQL&gt;&lt;FQL&gt;&lt;Q&gt;REFPHRREPO-FDS^FG_YIELD(NOW,,,0)&lt;/Q&gt;&lt;R&gt;1&lt;/R&gt;&lt;C&gt;1&lt;/C&gt;&lt;D xsi:type="xsd:double"&gt;6.5&lt;/D&gt;&lt;/FQL&gt;&lt;FQL&gt;&lt;Q&gt;TRYTR7Y-FDS^PCTCHG(FG_YIELD(0,,,,"YTM"),FG_YIELD(-3AM,,,,"YTM"))&lt;/Q&gt;&lt;R&gt;1&lt;/R&gt;&lt;C&gt;1&lt;/C&gt;&lt;D xsi:type="xsd:double"&gt;-0.1974993&lt;/D&gt;&lt;/FQL&gt;&lt;FQL&gt;&lt;Q&gt;TRYKR10Y-FDS^PCTCHG(FG_YIELD(0,,,,"YTM"),FG_YIELD(-1AM,,,,"YTM"))&lt;/Q&gt;&lt;R&gt;1&lt;/R&gt;&lt;C&gt;1&lt;/C&gt;&lt;D xsi:type="xsd:double"&gt;-3.8082514&lt;/D&gt;&lt;/FQL&gt;&lt;FQL&gt;&lt;Q&gt;TRYCN10Y-FDS^PCTCHG(FG_YIELD(0,,,,"YTM"),FG_YIELD(-3AM,,,,"YTM"))&lt;/Q&gt;&lt;R&gt;1&lt;/R&gt;&lt;C&gt;1&lt;/C&gt;&lt;D xsi:type="xsd:double"&gt;0.1368179&lt;/D&gt;&lt;/FQL&gt;&lt;FQL&gt;&lt;Q&gt;CC_QA^IMF_IFS_RCPI_Q(0)&lt;/Q&gt;&lt;R&gt;0&lt;/R&gt;&lt;C&gt;0&lt;/C&gt;&lt;/FQL&gt;&lt;FQL&gt;&lt;Q&gt;KSA^FMA_PE(LTM,0,,,"PORTAGG","MEANR")&lt;/Q&gt;&lt;R&gt;1&lt;/R&gt;&lt;C&gt;1&lt;/C&gt;&lt;D xsi:type="xsd:double"&gt;21.405752246258&lt;/D&gt;&lt;/FQL&gt;&lt;FQL&gt;&lt;Q&gt;QAT^FMA_PE(NTMA,0,,,"PORTAGG","MEANR")&lt;/Q&gt;&lt;R&gt;1&lt;/R&gt;&lt;C&gt;1&lt;/C&gt;&lt;D xsi:type="xsd:double"&gt;10.4058083564645&lt;/D&gt;&lt;/FQL&gt;&lt;FQL&gt;&lt;Q&gt;EWZ^FMA_DIV_YLD(NTMA,NOW,NOW,M,"PORTAGG","MEANR")&lt;/Q&gt;&lt;R&gt;1&lt;/R&gt;&lt;C&gt;1&lt;/C&gt;&lt;D xsi:type="xsd:double"&gt;7.02769027128509&lt;/D&gt;&lt;/FQL&gt;&lt;FQL&gt;&lt;Q&gt;EWW^JULIAN(FMA_DIV_YLD(NTMA,NOW,NOW,M,"PORTAGG","MEANR").DATES)&lt;/Q&gt;&lt;R&gt;1&lt;/R&gt;&lt;C&gt;1&lt;/C&gt;&lt;D xsi:type="xsd:long"&gt;45471&lt;/D&gt;&lt;/FQL&gt;&lt;FQL&gt;&lt;Q&gt;EPU^FG_FCF_YIELD_NTM(0)&lt;/Q&gt;&lt;R&gt;1&lt;/R&gt;&lt;C&gt;1&lt;/C&gt;&lt;D xsi:type="xsd:double"&gt;8.57181841729382&lt;/D&gt;&lt;/FQL&gt;&lt;FQL&gt;&lt;Q&gt;TRYID10Y-FDS^FG_YIELD(0,,,,"YTM")&lt;/Q&gt;&lt;R&gt;1&lt;/R&gt;&lt;C&gt;1&lt;/C&gt;&lt;D xsi:type="xsd:double"&gt;6.944017&lt;/D&gt;&lt;/FQL&gt;&lt;FQL&gt;&lt;Q&gt;VNM^FMA_DIV_YLD(NTMA,NOW,NOW,M,"PORTAGG","MEANR")&lt;/Q&gt;&lt;R&gt;1&lt;/R&gt;&lt;C&gt;1&lt;/C&gt;&lt;D xsi:type="xsd:double"&gt;1.91037025060779&lt;/D&gt;&lt;/FQL&gt;&lt;FQL&gt;&lt;Q&gt;USDBRL^FG_COMPANY_NAME&lt;/Q&gt;&lt;R&gt;1&lt;/R&gt;&lt;C&gt;1&lt;/C&gt;&lt;D xsi:type="xsd:string"&gt;Brazilian Real per U.S. Dollar&lt;/D&gt;&lt;/FQL&gt;&lt;FQL&gt;&lt;Q&gt;QAT^P_PRICE_RETURNS_PR('52W',2,-10AY,0,AM)&lt;/Q&gt;&lt;R&gt;121&lt;/R&gt;&lt;C&gt;1&lt;/C&gt;&lt;D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xsi:type="xsd:double"&gt;-2.5634408&lt;/D&gt;&lt;D xsi:type="xsd:double"&gt;-2.9325306&lt;/D&gt;&lt;D xsi:type="xsd:double"&gt;-9.465581&lt;/D&gt;&lt;D xsi:type="xsd:double"&gt;-15.499753&lt;/D&gt;&lt;D xsi:type="xsd:double"&gt;-19.081974&lt;/D&gt;&lt;D xsi:type="xsd:double"&gt;-8.549643&lt;/D&gt;&lt;D xsi:type="xsd:double"&gt;-21.132677&lt;/D&gt;&lt;D xsi:type="xsd:double"&gt;-18.58114&lt;/D&gt;&lt;D xsi:type="xsd:double"&gt;-27.174812&lt;/D&gt;&lt;D xsi:type="xsd:double"&gt;-21.194035&lt;/D&gt;&lt;D xsi:type="xsd:double"&gt;-10.677796&lt;/D&gt;&lt;D xsi:type="xsd:double"&gt;-12.118459&lt;/D&gt;&lt;D xsi:type="xsd:double"&gt;-20.042902&lt;/D&gt;&lt;D xsi:type="xsd:double"&gt;-16.978&lt;/D&gt;&lt;D xsi:type="xsd:double"&gt;-10.358995&lt;/D&gt;&lt;D xsi:type="xsd:double"&gt;1.4190674&lt;/D&gt;&lt;D xsi:type="xsd:double"&gt;-7.9616013&lt;/D&gt;&lt;D xsi:type="xsd:double"&gt;-8.053899&lt;/D&gt;&lt;D xsi:type="xsd:double"&gt;-4.184169&lt;/D&gt;&lt;D xsi:type="xsd:double"&gt;11.122168&lt;/D&gt;&lt;D xsi:type="xsd:double"&gt;27.923286&lt;/D&gt;&lt;D xsi:type="xsd:double"&gt;12.996459&lt;/D&gt;&lt;D xsi:type="xsd:double"&gt;0.25583506&lt;/D&gt;&lt;D xsi:type="xsd:double"&gt;4.9693108&lt;/D&gt;&lt;D xsi:type="xsd:double"&gt;5.8105826&lt;/D&gt;&lt;D xsi:type="xsd:double"&gt;-2.4274945&lt;/D&gt;&lt;D xsi:type="xsd:double"&gt;-4.523033&lt;/D&gt;&lt;D xsi:type="xsd:double"&gt;-16.151398&lt;/D&gt;&lt;D xsi:type="xsd:double"&gt;-12.982046&lt;/D&gt;&lt;D xsi:type="xsd:double"&gt;-19.472408&lt;/D&gt;&lt;D xsi:type="xsd:double"&gt;-22.451735&lt;/D&gt;&lt;D xsi:type="xsd:double"&gt;-13.740605&lt;/D&gt;&lt;D xsi:type="xsd:double"&gt;-9.882158&lt;/D&gt;&lt;D xsi:type="xsd:double"&gt;-13.5638&lt;/D&gt;&lt;D xsi:type="xsd:double"&gt;-9.667182&lt;/D&gt;&lt;D xsi:type="xsd:double"&gt;-10.516411&lt;/D&gt;&lt;D xsi:type="xsd:double"&gt;-8.343416&lt;/D&gt;&lt;D xsi:type="xsd:double"&gt;0.9897351&lt;/D&gt;&lt;D xsi:type="xsd:double"&gt;-0.37319064&lt;/D&gt;&lt;D xsi:type="xsd:double"&gt;7.464659&lt;/D&gt;&lt;D xsi:type="xsd:double"&gt;18.52007&lt;/D&gt;&lt;D xsi:type="xsd:double"&gt;26.108002&lt;/D&gt;&lt;D xsi:type="xsd:double"&gt;46.68118&lt;/D&gt;&lt;D xsi:type="xsd:double"&gt;25.428236&lt;/D&gt;&lt;D xsi:type="xsd:double"&gt;21.266472&lt;/D&gt;&lt;D xsi:type="xsd:double"&gt;13.410187&lt;/D&gt;&lt;D xsi:type="xsd:double"&gt;13.714897&lt;/D&gt;&lt;D xsi:type="xsd:double"&gt;16.776525&lt;/D&gt;&lt;D xsi:type="xsd:double"&gt;11.0942955&lt;/D&gt;&lt;D xsi:type="xsd:double"&gt;13.936054&lt;/D&gt;&lt;D xsi:type="xsd:double"&gt;8.835304&lt;/D&gt;&lt;D xsi:type="xsd:double"&gt;0.43213367&lt;/D&gt;&lt;D xsi:type="xsd:double"&gt;4.7841907&lt;/D&gt;&lt;D xsi:type="xsd:double"&gt;4.147053&lt;/D&gt;&lt;D xsi:type="xsd:double"&gt;-2.6766062&lt;/D&gt;&lt;D xsi:type="xsd:double"&gt;-3.6159635&lt;/D&gt;&lt;D xsi:type="xsd:double"&gt;-3.9188683&lt;/D&gt;&lt;D xsi:type="xsd:double"&gt;-1.555264&lt;/D&gt;&lt;D xsi:type="xsd:double"&gt;-11.411863&lt;/D&gt;&lt;D xsi:type="xsd:double"&gt;-13.893682&lt;/D&gt;&lt;D xsi:type="xsd:double"&gt;-6.500989&lt;/D&gt;&lt;D xsi:type="xsd:double"&gt;-5.722952&lt;/D&gt;&lt;D xsi:type="xsd:double"&gt;-2.9235303&lt;/D&gt;&lt;D xsi:type="xsd:double"&gt;8.31902&lt;/D&gt;&lt;D xsi:type="xsd:double"&gt;3.9891362&lt;/D&gt;&lt;D xsi:type="xsd:double"&gt;2.3617983&lt;/D&gt;&lt;D xsi:type="xsd:double"&gt;4.8220396&lt;/D&gt;&lt;D xsi:type="xsd:double"&gt;7.691622&lt;/D&gt;&lt;D xsi:type="xsd:double"&gt;6.332338&lt;/D&gt;&lt;D xsi:type="xsd:double"&gt;11.463463&lt;/D&gt;&lt;D xsi:type="xsd:double"&gt;23.357796&lt;/D&gt;&lt;D xsi:type="xsd:double"&gt;28.443695&lt;/D&gt;&lt;D xsi:type="xsd:double"&gt;26.698029&lt;/D&gt;&lt;D xsi:type="xsd:double"&gt;17.758633&lt;/D&gt;&lt;D xsi:type="xsd:double"&gt;13.083542&lt;/D&gt;&lt;D xsi:type="xsd:double"&gt;15.483212&lt;/D&gt;&lt;D xsi:type="xsd:double"&gt;12.7144575&lt;/D&gt;&lt;D xsi:type="xsd:double"&gt;19.110525&lt;/D&gt;&lt;D xsi:type="xsd:double"&gt;20.452642&lt;/D&gt;&lt;D xsi:type="xsd:double"&gt;12.227285&lt;/D&gt;&lt;D xsi:type="xsd:double"&gt;18.45522&lt;/D&gt;&lt;D xsi:type="xsd:double"&gt;26.23893&lt;/D&gt;&lt;D xsi:type="xsd:double"&gt;32.5544&lt;/D&gt;&lt;D xsi:type="xsd:double"&gt;29.28754&lt;/D&gt;&lt;D xsi:type="xsd:double"&gt;19.755411&lt;/D&gt;&lt;D xsi:type="xsd:double"&gt;16.46105&lt;/D&gt;&lt;D xsi:type="xsd:double"&gt;15.265894&lt;/D&gt;&lt;D xsi:type="xsd:double"&gt;24.006426&lt;/D&gt;&lt;D xsi:type="xsd:double"&gt;14.846336&lt;/D&gt;&lt;D xsi:type="xsd:double"&gt;7.201123&lt;/D&gt;&lt;D xsi:type="xsd:double"&gt;2.2253036&lt;/D&gt;&lt;D xsi:type="xsd:double"&gt;-3.1891227&lt;/D&gt;&lt;D xsi:type="xsd:double"&gt;-11.214638&lt;/D&gt;&lt;D xsi:type="xsd:double"&gt;-15.626269&lt;/D&gt;&lt;D xsi:type="xsd:double"&gt;-24.24034&lt;/D&gt;&lt;D xsi:type="xsd:double"&gt;-24.013567&lt;/D&gt;&lt;D xsi:type="xsd:double"&gt;-12.028623&lt;/D&gt;&lt;D xsi:type="xsd:double"&gt;-10.444522&lt;/D&gt;&lt;D xsi:type="xsd:double"&gt;-9.42021&lt;/D&gt;&lt;D xsi:type="xsd:double"&gt;-19.564236&lt;/D&gt;&lt;D xsi:type="xsd:double"&gt;-15.922308&lt;/D&gt;&lt;D xsi:type="xsd:double"&gt;-18.842804&lt;/D&gt;&lt;D xsi:type="xsd:double"&gt;-11.859667&lt;/D&gt;&lt;D xsi:type="xsd:double"&gt;-3.6385953&lt;/D&gt;&lt;D xsi:type="xsd:double"&gt;-2.4542391&lt;/D&gt;&lt;D xsi:type="xsd:double"&gt;-1.0752678&lt;/D&gt;&lt;D xsi:type="xsd:double"&gt;8.143187&lt;/D&gt;&lt;D xsi:type="xsd:double"&gt;1.0833979&lt;/D&gt;&lt;D xsi:type="xsd:double"&gt;-6.6791177&lt;/D&gt;&lt;D xsi:type="xsd:double"&gt;-4.088217&lt;/D&gt;&lt;D xsi:type="xsd:double"&gt;-1.6267061&lt;/D&gt;&lt;/FQL&gt;&lt;FQL&gt;&lt;Q&gt;MCHI^FG_TOTAL_RETURNC(-10AY,0,AM)&lt;/Q&gt;&lt;R&gt;121&lt;/R&gt;&lt;C&gt;1&lt;/C&gt;&lt;D xsi:type="xsd:double"&gt;3.4021258&lt;/D&gt;&lt;D xsi:type="xsd:double"&gt;7.12049&lt;/D&gt;&lt;D xsi:type="xsd:double"&gt;-3.801173&lt;/D&gt;&lt;D xsi:type="xsd:double"&gt;-4.2147875&lt;/D&gt;&lt;D xsi:type="xsd:double"&gt;1.4385462&lt;/D&gt;&lt;D xsi:type="xsd:double"&gt;2.9490352&lt;/D&gt;&lt;D xsi:type="xsd:double"&gt;4.1709304&lt;/D&gt;&lt;D xsi:type="xsd:double"&gt;2.315998&lt;/D&gt;&lt;D xsi:type="xsd:double"&gt;1.2660623&lt;/D&gt;&lt;D xsi:type="xsd:double"&gt;15.968931&lt;/D&gt;&lt;D xsi:type="xsd:double"&gt;0.8657336&lt;/D&gt;&lt;D xsi:type="xsd:double"&gt;-7.2712603&lt;/D&gt;&lt;D xsi:type="xsd:double"&gt;-6.9022236&lt;/D&gt;&lt;D xsi:type="xsd:double"&gt;-10.197115&lt;/D&gt;&lt;D xsi:type="xsd:double"&gt;-5.550867&lt;/D&gt;&lt;D xsi:type="xsd:double"&gt;8.357549&lt;/D&gt;&lt;D xsi:type="xsd:double"&gt;-2.45412&lt;/D&gt;&lt;D xsi:type="xsd:double"&gt;-4.1226206&lt;/D&gt;&lt;D xsi:type="xsd:double"&gt;-13.560486&lt;/D&gt;&lt;D xsi:type="xsd:double"&gt;-0.31039715&lt;/D&gt;&lt;D xsi:type="xsd:double"&gt;9.366894&lt;/D&gt;&lt;D xsi:type="xsd:double"&gt;4.9584866&lt;/D&gt;&lt;D xsi:type="xsd:double"&gt;-10.669083&lt;/D&gt;&lt;D xsi:type="xsd:double"&gt;3.1882524&lt;/D&gt;&lt;D xsi:type="xsd:double"&gt;7.5701833&lt;/D&gt;&lt;D xsi:type="xsd:double"&gt;8.771526&lt;/D&gt;&lt;D xsi:type="xsd:double"&gt;1.4777303&lt;/D&gt;&lt;D xsi:type="xsd:double"&gt;0.7073045&lt;/D&gt;&lt;D xsi:type="xsd:double"&gt;-6.362319&lt;/D&gt;&lt;D xsi:type="xsd:double"&gt;-3.176707&lt;/D&gt;&lt;D xsi:type="xsd:double"&gt;6.261933&lt;/D&gt;&lt;D xsi:type="xsd:double"&gt;6.1052203&lt;/D&gt;&lt;D xsi:type="xsd:double"&gt;2.6321173&lt;/D&gt;&lt;D xsi:type="xsd:double"&gt;-1.3916492&lt;/D&gt;&lt;D xsi:type="xsd:double"&gt;7.3387146&lt;/D&gt;&lt;D xsi:type="xsd:double"&gt;3.1930804&lt;/D&gt;&lt;D xsi:type="xsd:double"&gt;6.7463994&lt;/D&gt;&lt;D xsi:type="xsd:double"&gt;2.1047235&lt;/D&gt;&lt;D xsi:type="xsd:double"&gt;7.8934073&lt;/D&gt;&lt;D xsi:type="xsd:double"&gt;1.0096312&lt;/D&gt;&lt;D xsi:type="xsd:double"&gt;3.9058924&lt;/D&gt;&lt;D xsi:type="xsd:double"&gt;-2.3742974&lt;/D&gt;&lt;D xsi:type="xsd:double"&gt;12.714982&lt;/D&gt;&lt;D xsi:type="xsd:double"&gt;-2.9427826&lt;/D&gt;&lt;D xsi:type="xsd:double"&gt;0.46322346&lt;/D&gt;&lt;D xsi:type="xsd:double"&gt;-5.337429&lt;/D&gt;&lt;D xsi:type="xsd:double"&gt;2.0811915&lt;/D&gt;&lt;D xsi:type="xsd:double"&gt;-1.3947606&lt;/D&gt;&lt;D xsi:type="xsd:double"&gt;-7.410133&lt;/D&gt;&lt;D xsi:type="xsd:double"&gt;-5.186951&lt;/D&gt;&lt;D xsi:type="xsd:double"&gt;-0.30206442&lt;/D&gt;&lt;D xsi:type="xsd:double"&gt;-9.863663&lt;/D&gt;&lt;D xsi:type="xsd:double"&gt;3.174603&lt;/D&gt;&lt;D xsi:type="xsd:double"&gt;-4.0653048&lt;/D&gt;&lt;D xsi:type="xsd:double"&gt;8.877886&lt;/D&gt;&lt;D xsi:type="xsd:double"&gt;4.181981&lt;/D&gt;&lt;D xsi:type="xsd:double"&gt;5.5928707&lt;/D&gt;&lt;D xsi:type="xsd:double"&gt;3.2129765&lt;/D&gt;&lt;D xsi:type="xsd:double"&gt;-11.111111&lt;/D&gt;&lt;D xsi:type="xsd:double"&gt;1.8399835&lt;/D&gt;&lt;D xsi:type="xsd:double"&gt;1.6446829&lt;/D&gt;&lt;D xsi:type="xsd:double"&gt;-4.921627&lt;/D&gt;&lt;D xsi:type="xsd:double"&gt;3.758192&lt;/D&gt;&lt;D xsi:type="xsd:double"&gt;-1.366818&lt;/D&gt;&lt;D xsi:type="xsd:double"&gt;3.7762046&lt;/D&gt;&lt;D xsi:type="xsd:double"&gt;6.5463424&lt;/D&gt;&lt;D xsi:type="xsd:double"&gt;6.624508&lt;/D&gt;&lt;D xsi:type="xsd:double"&gt;-3.1731904&lt;/D&gt;&lt;D xsi:type="xsd:double"&gt;-19.234306&lt;/D&gt;&lt;D xsi:type="xsd:double"&gt;14.087975&lt;/D&gt;&lt;D xsi:type="xsd:double"&gt;3.8391232&lt;/D&gt;&lt;D xsi:type="xsd:double"&gt;4.5496225&lt;/D&gt;&lt;D xsi:type="xsd:double"&gt;9.3269825&lt;/D&gt;&lt;D xsi:type="xsd:double"&gt;2.9234052&lt;/D&gt;&lt;D xsi:type="xsd:double"&gt;1.0378242&lt;/D&gt;&lt;D xsi:type="xsd:double"&gt;4.5276403&lt;/D&gt;&lt;D xsi:type="xsd:double"&gt;3.8014054&lt;/D&gt;&lt;D xsi:type="xsd:double"&gt;0.84409714&lt;/D&gt;&lt;D xsi:type="xsd:double"&gt;10.430681&lt;/D&gt;&lt;D xsi:type="xsd:double"&gt;7.8110933&lt;/D&gt;&lt;D xsi:type="xsd:double"&gt;-11.238891&lt;/D&gt;&lt;D xsi:type="xsd:double"&gt;-3.2273233&lt;/D&gt;&lt;D xsi:type="xsd:double"&gt;-2.6898801&lt;/D&gt;&lt;D xsi:type="xsd:double"&gt;0.6807804&lt;/D&gt;&lt;D xsi:type="xsd:double"&gt;-4.1708174&lt;/D&gt;&lt;D xsi:type="xsd:double"&gt;-13.537741&lt;/D&gt;&lt;D xsi:type="xsd:double"&gt;3.5462022&lt;/D&gt;&lt;D xsi:type="xsd:double"&gt;5.282247&lt;/D&gt;&lt;D xsi:type="xsd:double"&gt;-5.334258&lt;/D&gt;&lt;D xsi:type="xsd:double"&gt;-8.924418&lt;/D&gt;&lt;D xsi:type="xsd:double"&gt;1.7716169&lt;/D&gt;&lt;D xsi:type="xsd:double"&gt;-2.563697&lt;/D&gt;&lt;D xsi:type="xsd:double"&gt;-10.573328&lt;/D&gt;&lt;D xsi:type="xsd:double"&gt;-6.5383253&lt;/D&gt;&lt;D xsi:type="xsd:double"&gt;-3.6727548&lt;/D&gt;&lt;D xsi:type="xsd:double"&gt;7.0987105&lt;/D&gt;&lt;D xsi:type="xsd:double"&gt;-0.28419495&lt;/D&gt;&lt;D xsi:type="xsd:double"&gt;-7.9042377&lt;/D&gt;&lt;D xsi:type="xsd:double"&gt;-4.477&lt;/D&gt;&lt;D xsi:type="xsd:double"&gt;-15.11879&lt;/D&gt;&lt;D xsi:type="xsd:double"&gt;12.111961&lt;/D&gt;&lt;D xsi:type="xsd:double"&gt;8.184206&lt;/D&gt;&lt;D xsi:type="xsd:double"&gt;13.966358&lt;/D&gt;&lt;D xsi:type="xsd:double"&gt;-6.146079&lt;/D&gt;&lt;D xsi:type="xsd:double"&gt;-6.3694296&lt;/D&gt;&lt;D xsi:type="xsd:double"&gt;4.4855475&lt;/D&gt;&lt;D xsi:type="xsd:double"&gt;-5.8799686&lt;/D&gt;&lt;D xsi:type="xsd:double"&gt;3.964901&lt;/D&gt;&lt;D xsi:type="xsd:double"&gt;-4.282117&lt;/D&gt;&lt;D xsi:type="xsd:double"&gt;-4.999995&lt;/D&gt;&lt;D xsi:type="xsd:double"&gt;1.2465358&lt;/D&gt;&lt;D xsi:type="xsd:double"&gt;-4.9931645&lt;/D&gt;&lt;D xsi:type="xsd:double"&gt;3.8396955&lt;/D&gt;&lt;D xsi:type="xsd:double"&gt;-4.4372616&lt;/D&gt;&lt;D xsi:type="xsd:double"&gt;-8.156133&lt;/D&gt;&lt;D xsi:type="xsd:double"&gt;4.724622&lt;/D&gt;&lt;D xsi:type="xsd:double"&gt;3.2482505&lt;/D&gt;&lt;D xsi:type="xsd:double"&gt;-1.5980005&lt;/D&gt;&lt;D xsi:type="xsd:double"&gt;20.375538&lt;/D&gt;&lt;D xsi:type="xsd:double"&gt;-7.8382015&lt;/D&gt;&lt;D xsi:type="xsd:double"&gt;-3.468871&lt;/D&gt;&lt;/FQL&gt;&lt;FQL&gt;&lt;Q&gt;GREK^FMA_DIV_YLD(NTMA,-10AY,0,AM,"PORTAGG","MEANR")&lt;/Q&gt;&lt;R&gt;121&lt;/R&gt;&lt;C&gt;1&lt;/C&gt;&lt;D xsi:type="xsd:double"&gt;2.08721824855684&lt;/D&gt;&lt;D xsi:type="xsd:double"&gt;2.11844091203538&lt;/D&gt;&lt;D xsi:type="xsd:double"&gt;2.17351898688422&lt;/D&gt;&lt;D xsi:type="xsd:double"&gt;2.61802277647803&lt;/D&gt;&lt;D xsi:type="xsd:double"&gt;2.5844938265718&lt;/D&gt;&lt;D xsi:type="xsd:double"&gt;2.95261301203332&lt;/D&gt;&lt;D xsi:type="xsd:double"&gt;3.60899969862101&lt;/D&gt;&lt;D xsi:type="xsd:double"&gt;3.27155093039401&lt;/D&gt;&lt;D xsi:type="xsd:double"&gt;3.71866996429473&lt;/D&gt;&lt;D xsi:type="xsd:double"&gt;3.66154340668784&lt;/D&gt;&lt;D xsi:type="xsd:double"&gt;3.1341246473369&lt;/D&gt;&lt;D xsi:type="xsd:double"&gt;3.91985740971216&lt;/D&gt;&lt;D xsi:type="xsd:double"&gt;3.30617860635291&lt;/D&gt;&lt;D xsi:type="xsd:double"&gt;4.03639305374525&lt;/D&gt;&lt;D xsi:type="xsd:double"&gt;3.11404360513014&lt;/D&gt;&lt;D xsi:type="xsd:double"&gt;2.90956273583915&lt;/D&gt;&lt;D xsi:type="xsd:double"&gt;3.11997940789512&lt;/D&gt;&lt;D xsi:type="xsd:double"&gt;2.90757794228433&lt;/D&gt;&lt;D xsi:type="xsd:double"&gt;2.91937725146891&lt;/D&gt;&lt;D xsi:type="xsd:double"&gt;2.87909763977212&lt;/D&gt;&lt;D xsi:type="xsd:double"&gt;3.44566767175808&lt;/D&gt;&lt;D xsi:type="xsd:double"&gt;3.04556591566705&lt;/D&gt;&lt;D xsi:type="xsd:double"&gt;2.34750808849883&lt;/D&gt;&lt;D xsi:type="xsd:double"&gt;2.72675923679299&lt;/D&gt;&lt;D xsi:type="xsd:double"&gt;2.90017174614307&lt;/D&gt;&lt;D xsi:type="xsd:double"&gt;2.97875848158673&lt;/D&gt;&lt;D xsi:type="xsd:double"&gt;3.41878548261185&lt;/D&gt;&lt;D xsi:type="xsd:double"&gt;2.96929795168941&lt;/D&gt;&lt;D xsi:type="xsd:double"&gt;2.85477613468777&lt;/D&gt;&lt;D xsi:type="xsd:double"&gt;2.9299179806342&lt;/D&gt;&lt;D xsi:type="xsd:double"&gt;2.91792512840754&lt;/D&gt;&lt;D xsi:type="xsd:double"&gt;3.07410737168593&lt;/D&gt;&lt;D xsi:type="xsd:double"&gt;2.97531318444258&lt;/D&gt;&lt;D xsi:type="xsd:double"&gt;2.63432917440549&lt;/D&gt;&lt;D xsi:type="xsd:double"&gt;2.56869480909211&lt;/D&gt;&lt;D xsi:type="xsd:double"&gt;2.53442063236271&lt;/D&gt;&lt;D xsi:type="xsd:double"&gt;2.42510963866435&lt;/D&gt;&lt;D xsi:type="xsd:double"&gt;2.60920331957911&lt;/D&gt;&lt;D xsi:type="xsd:double"&gt;2.79147458122298&lt;/D&gt;&lt;D xsi:type="xsd:double"&gt;2.85506079325219&lt;/D&gt;&lt;D xsi:type="xsd:double"&gt;3.19578527443219&lt;/D&gt;&lt;D xsi:type="xsd:double"&gt;2.6556832294105&lt;/D&gt;&lt;D xsi:type="xsd:double"&gt;2.58721613092972&lt;/D&gt;&lt;D xsi:type="xsd:double"&gt;2.79456183343588&lt;/D&gt;&lt;D xsi:type="xsd:double"&gt;3.16779493095806&lt;/D&gt;&lt;D xsi:type="xsd:double"&gt;2.92345752514797&lt;/D&gt;&lt;D xsi:type="xsd:double"&gt;3.29463712883514&lt;/D&gt;&lt;D xsi:type="xsd:double"&gt;3.38529542860281&lt;/D&gt;&lt;D xsi:type="xsd:double"&gt;3.42034406525377&lt;/D&gt;&lt;D xsi:type="xsd:double"&gt;3.73774602904968&lt;/D&gt;&lt;D xsi:type="xsd:double"&gt;3.78139403576656&lt;/D&gt;&lt;D xsi:type="xsd:double"&gt;4.25105028667998&lt;/D&gt;&lt;D xsi:type="xsd:double"&gt;4.35006519531092&lt;/D&gt;&lt;D xsi:type="xsd:double"&gt;4.4011280151636&lt;/D&gt;&lt;D xsi:type="xsd:double"&gt;4.33863614094183&lt;/D&gt;&lt;D xsi:type="xsd:double"&gt;4.06248227125833&lt;/D&gt;&lt;D xsi:type="xsd:double"&gt;3.83196881590852&lt;/D&gt;&lt;D xsi:type="xsd:double"&gt;3.50498654083963&lt;/D&gt;&lt;D xsi:type="xsd:double"&gt;3.95551916881588&lt;/D&gt;&lt;D xsi:type="xsd:double"&gt;3.30849199765628&lt;/D&gt;&lt;D xsi:type="xsd:double"&gt;3.21586200133027&lt;/D&gt;&lt;D xsi:type="xsd:double"&gt;3.40301270680381&lt;/D&gt;&lt;D xsi:type="xsd:double"&gt;3.34807370388881&lt;/D&gt;&lt;D xsi:type="xsd:double"&gt;3.21346317057911&lt;/D&gt;&lt;D xsi:type="xsd:double"&gt;3.22207284898602&lt;/D&gt;&lt;D xsi:type="xsd:double"&gt;2.93905515025103&lt;/D&gt;&lt;D xsi:type="xsd:double"&gt;2.88206360311812&lt;/D&gt;&lt;D xsi:type="xsd:double"&gt;2.84697112320805&lt;/D&gt;&lt;D xsi:type="xsd:double"&gt;5.5077272592427&lt;/D&gt;&lt;D xsi:type="xsd:double"&gt;4.62749065745146&lt;/D&gt;&lt;D xsi:type="xsd:double"&gt;4.16477104917892&lt;/D&gt;&lt;D xsi:type="xsd:double"&gt;3.62432714421379&lt;/D&gt;&lt;D xsi:type="xsd:double"&gt;3.72317270173529&lt;/D&gt;&lt;D xsi:type="xsd:double"&gt;3.54175997761189&lt;/D&gt;&lt;D xsi:type="xsd:double"&gt;3.46831000489887&lt;/D&gt;&lt;D xsi:type="xsd:double"&gt;3.87645733917267&lt;/D&gt;&lt;D xsi:type="xsd:double"&gt;3.50116491151658&lt;/D&gt;&lt;D xsi:type="xsd:double"&gt;3.1714598156205&lt;/D&gt;&lt;D xsi:type="xsd:double"&gt;3.21767919889116&lt;/D&gt;&lt;D xsi:type="xsd:double"&gt;3.34291417696765&lt;/D&gt;&lt;D xsi:type="xsd:double"&gt;3.28320932508842&lt;/D&gt;&lt;D xsi:type="xsd:double"&gt;3.40818121034041&lt;/D&gt;&lt;D xsi:type="xsd:double"&gt;3.20130657514178&lt;/D&gt;&lt;D xsi:type="xsd:double"&gt;3.01799367182912&lt;/D&gt;&lt;D xsi:type="xsd:double"&gt;3.13223654768275&lt;/D&gt;&lt;D xsi:type="xsd:double"&gt;3.09813520862498&lt;/D&gt;&lt;D xsi:type="xsd:double"&gt;2.97510693293806&lt;/D&gt;&lt;D xsi:type="xsd:double"&gt;3.03800254085914&lt;/D&gt;&lt;D xsi:type="xsd:double"&gt;2.79538391931672&lt;/D&gt;&lt;D xsi:ty</t>
        </r>
      </text>
    </comment>
    <comment ref="A17" authorId="0" shapeId="0" xr:uid="{A31FEA7A-4D12-4CE9-B75B-A4FC94197A64}">
      <text>
        <r>
          <rPr>
            <b/>
            <sz val="9"/>
            <color indexed="81"/>
            <rFont val="Tahoma"/>
            <charset val="1"/>
          </rPr>
          <t>pe="xsd:double"&gt;3.19194342304003&lt;/D&gt;&lt;D xsi:type="xsd:double"&gt;3.09104401562342&lt;/D&gt;&lt;D xsi:type="xsd:double"&gt;2.96596833751685&lt;/D&gt;&lt;D xsi:type="xsd:double"&gt;3.09770474731636&lt;/D&gt;&lt;D xsi:type="xsd:double"&gt;3.15600846493535&lt;/D&gt;&lt;D xsi:type="xsd:double"&gt;3.67206683718672&lt;/D&gt;&lt;D xsi:type="xsd:double"&gt;4.18882760044691&lt;/D&gt;&lt;D xsi:type="xsd:double"&gt;4.36106096522822&lt;/D&gt;&lt;D xsi:type="xsd:double"&gt;3.89824408061646&lt;/D&gt;&lt;D xsi:type="xsd:double"&gt;4.49021775841645&lt;/D&gt;&lt;D xsi:type="xsd:double"&gt;4.46583150153759&lt;/D&gt;&lt;D xsi:type="xsd:double"&gt;4.59513894190198&lt;/D&gt;&lt;D xsi:type="xsd:double"&gt;4.40977655215553&lt;/D&gt;&lt;D xsi:type="xsd:double"&gt;4.5546566076492&lt;/D&gt;&lt;D xsi:type="xsd:double"&gt;3.94314303253781&lt;/D&gt;&lt;D xsi:type="xsd:double"&gt;4.4589483245808&lt;/D&gt;&lt;D xsi:type="xsd:double"&gt;4.1828015122401&lt;/D&gt;&lt;D xsi:type="xsd:double"&gt;4.30710658915527&lt;/D&gt;&lt;D xsi:type="xsd:double"&gt;3.91371446024699&lt;/D&gt;&lt;D xsi:type="xsd:double"&gt;3.97734181270312&lt;/D&gt;&lt;D xsi:type="xsd:double"&gt;4.49086712994062&lt;/D&gt;&lt;D xsi:type="xsd:double"&gt;4.66594738064653&lt;/D&gt;&lt;D xsi:type="xsd:double"&gt;5.08068138653244&lt;/D&gt;&lt;D xsi:type="xsd:double"&gt;4.520165742198&lt;/D&gt;&lt;D xsi:type="xsd:double"&gt;4.50329387238556&lt;/D&gt;&lt;D xsi:type="xsd:double"&gt;4.60948357931636&lt;/D&gt;&lt;D xsi:type="xsd:double"&gt;4.52509557887347&lt;/D&gt;&lt;D xsi:type="xsd:double"&gt;4.93595860624914&lt;/D&gt;&lt;D xsi:type="xsd:double"&gt;5.34355973476033&lt;/D&gt;&lt;D xsi:type="xsd:double"&gt;5.25758509212147&lt;/D&gt;&lt;D xsi:type="xsd:double"&gt;6.13543070048195&lt;/D&gt;&lt;D xsi:type="xsd:double"&gt;5.85315202741595&lt;/D&gt;&lt;/FQL&gt;&lt;FQL&gt;&lt;Q&gt;GREK^FMA_PE(NTMA,-10AY,0,AM,"PORTAGG","MEANR")&lt;/Q&gt;&lt;R&gt;121&lt;/R&gt;&lt;C&gt;1&lt;/C&gt;&lt;D xsi:type="xsd:double"&gt;8.85823494863908&lt;/D&gt;&lt;D xsi:type="xsd:double"&gt;7.95331976629691&lt;/D&gt;&lt;D xsi:type="xsd:double"&gt;7.74785913551551&lt;/D&gt;&lt;D xsi:type="xsd:double"&gt;6.46906365403625&lt;/D&gt;&lt;D xsi:type="xsd:double"&gt;6.64783323690265&lt;/D&gt;&lt;D xsi:type="xsd:double"&gt;5.43251621348311&lt;/D&gt;&lt;D xsi:type="xsd:double"&gt;4.28468839001286&lt;/D&gt;&lt;D xsi:type="xsd:double"&gt;4.92651177792467&lt;/D&gt;&lt;D xsi:type="xsd:double"&gt;4.50672902630177&lt;/D&gt;&lt;D xsi:type="xsd:double"&gt;5.09178344057539&lt;/D&gt;&lt;D xsi:type="xsd:double"&gt;5.14765803773562&lt;/D&gt;&lt;D xsi:type="xsd:double"&gt;5.33991541206968&lt;/D&gt;&lt;D xsi:type="xsd:double"&gt;4.75837588541639&lt;/D&gt;&lt;D xsi:type="xsd:double"&gt;4.7367179951494&lt;/D&gt;&lt;D xsi:type="xsd:double"&gt;4.3086743456226&lt;/D&gt;&lt;D xsi:type="xsd:double"&gt;3.92982735764778&lt;/D&gt;&lt;D xsi:type="xsd:double"&gt;4.0441630889692&lt;/D&gt;&lt;D xsi:type="xsd:double"&gt;4.74261252576005&lt;/D&gt;&lt;D xsi:type="xsd:double"&gt;9.25591773419945&lt;/D&gt;&lt;D xsi:type="xsd:double"&gt;8.1404516282283&lt;/D&gt;&lt;D xsi:type="xsd:double"&gt;8.38897028054853&lt;/D&gt;&lt;D xsi:type="xsd:double"&gt;10.0597079631017&lt;/D&gt;&lt;D xsi:type="xsd:double"&gt;10.6423363753141&lt;/D&gt;&lt;D xsi:type="xsd:double"&gt;9.1381943424035&lt;/D&gt;&lt;D xsi:type="xsd:double"&gt;9.1183456069669&lt;/D&gt;&lt;D xsi:type="xsd:double"&gt;8.51442857278839&lt;/D&gt;&lt;D xsi:type="xsd:double"&gt;8.52107250327097&lt;/D&gt;&lt;D xsi:type="xsd:double"&gt;9.0013080115937&lt;/D&gt;&lt;D xsi:type="xsd:double"&gt;9.22224696152579&lt;/D&gt;&lt;D xsi:type="xsd:double"&gt;8.78948650657559&lt;/D&gt;&lt;D xsi:type="xsd:double"&gt;9.17327249181656&lt;/D&gt;&lt;D xsi:type="xsd:double"&gt;8.84213729465833&lt;/D&gt;&lt;D xsi:type="xsd:double"&gt;9.22090312991177&lt;/D&gt;&lt;D xsi:type="xsd:double"&gt;10.6783780367947&lt;/D&gt;&lt;D xsi:type="xsd:double"&gt;13.535030543627&lt;/D&gt;&lt;D xsi:type="xsd:double"&gt;12.9643040076712&lt;/D&gt;&lt;D xsi:type="xsd:double"&gt;13.1904743750861&lt;/D&gt;&lt;D xsi:type="xsd:double"&gt;12.2791362695009&lt;/D&gt;&lt;D xsi:type="xsd:double"&gt;10.9443843472347&lt;/D&gt;&lt;D xsi:type="xsd:double"&gt;11.995973117373&lt;/D&gt;&lt;D xsi:type="xsd:double"&gt;11.4043047409129&lt;/D&gt;&lt;D xsi:type="xsd:double"&gt;14.0416616683422&lt;/D&gt;&lt;D xsi:type="xsd:double"&gt;14.4405793690018&lt;/D&gt;&lt;D xsi:type="xsd:double"&gt;14.3804543639045&lt;/D&gt;&lt;D xsi:type="xsd:double"&gt;13.6457127870536&lt;/D&gt;&lt;D xsi:type="xsd:double"&gt;14.9635636944772&lt;/D&gt;&lt;D xsi:type="xsd:double"&gt;13.6726870060997&lt;/D&gt;&lt;D xsi:type="xsd:double"&gt;14.956583699594&lt;/D&gt;&lt;D xsi:type="xsd:double"&gt;14.6925233620272&lt;/D&gt;&lt;D xsi:type="xsd:double"&gt;14.2531734448244&lt;/D&gt;&lt;D xsi:type="xsd:double"&gt;14.5719762620603&lt;/D&gt;&lt;D xsi:type="xsd:double"&gt;12.2848003032974&lt;/D&gt;&lt;D xsi:type="xsd:double"&gt;12.0428762326068&lt;/D&gt;&lt;D xsi:type="xsd:double"&gt;11.7480809117581&lt;/D&gt;&lt;D xsi:type="xsd:double"&gt;11.0947906387435&lt;/D&gt;&lt;D xsi:type="xsd:double"&gt;11.9705116448278&lt;/D&gt;&lt;D xsi:type="xsd:double"&gt;12.9305698376342&lt;/D&gt;&lt;D xsi:type="xsd:double"&gt;13.9251043759764&lt;/D&gt;&lt;D xsi:type="xsd:double"&gt;12.6883136870056&lt;/D&gt;&lt;D xsi:type="xsd:double"&gt;13.6359137283979&lt;/D&gt;&lt;D xsi:type="xsd:double"&gt;14.0248858346194&lt;/D&gt;&lt;D xsi:type="xsd:double"&gt;13.4604642079239&lt;/D&gt;&lt;D xsi:type="xsd:double"&gt;13.9193818241411&lt;/D&gt;&lt;D xsi:type="xsd:double"&gt;11.9214824866763&lt;/D&gt;&lt;D xsi:type="xsd:double"&gt;11.7863281415876&lt;/D&gt;&lt;D xsi:type="xsd:double"&gt;11.3246120892527&lt;/D&gt;&lt;D xsi:type="xsd:double"&gt;11.2966647254422&lt;/D&gt;&lt;D xsi:type="xsd:double"&gt;11.0277847141624&lt;/D&gt;&lt;D xsi:type="xsd:double"&gt;5.98103095951348&lt;/D&gt;&lt;D xsi:type="xsd:double"&gt;8.3490981196603&lt;/D&gt;&lt;D xsi:type="xsd:double"&gt;10.2682531188713&lt;/D&gt;&lt;D xsi:type="xsd:double"&gt;13.9868379147344&lt;/D&gt;&lt;D xsi:type="xsd:double"&gt;13.2454751922578&lt;/D&gt;&lt;D xsi:type="xsd:double"&gt;12.3100355585279&lt;/D&gt;&lt;D xsi:type="xsd:double"&gt;12.4163762693107&lt;/D&gt;&lt;D xsi:type="xsd:double"&gt;10.0602695478478&lt;/D&gt;&lt;D xsi:type="xsd:double"&gt;10.7514998108101&lt;/D&gt;&lt;D xsi:type="xsd:double"&gt;12.3676551289527&lt;/D&gt;&lt;D xsi:type="xsd:double"&gt;11.3877488985266&lt;/D&gt;&lt;D xsi:type="xsd:double"&gt;11.9567457052128&lt;/D&gt;&lt;D xsi:type="xsd:double"&gt;11.9279076999924&lt;/D&gt;&lt;D xsi:type="xsd:double"&gt;12.344129682647&lt;/D&gt;&lt;D xsi:type="xsd:double"&gt;8.37658770748285&lt;/D&gt;&lt;D xsi:type="xsd:double"&gt;12.5071131953639&lt;/D&gt;&lt;D xsi:type="xsd:double"&gt;10.7689196832785&lt;/D&gt;&lt;D xsi:type="xsd:double"&gt;10.7736172885415&lt;/D&gt;&lt;D xsi:type="xsd:double"&gt;10.5023214659166&lt;/D&gt;&lt;D xsi:type="xsd:double"&gt;10.4639807409723&lt;/D&gt;&lt;D xsi:type="xsd:double"&gt;11.6198953328957&lt;/D&gt;&lt;D xsi:type="xsd:double"&gt;9.57982372604319&lt;/D&gt;&lt;D xsi:type="xsd:double"&gt;10.0557684381071&lt;/D&gt;&lt;D xsi:type="xsd:double"&gt;10.2015572105173&lt;/D&gt;&lt;D xsi:type="xsd:double"&gt;9.72878723858339&lt;/D&gt;&lt;D xsi:type="xsd:double"&gt;10.3458958238945&lt;/D&gt;&lt;D xsi:type="xsd:double"&gt;8.98635347625272&lt;/D&gt;&lt;D xsi:type="xsd:double"&gt;8.36700027685912&lt;/D&gt;&lt;D xsi:type="xsd:double"&gt;7.58849825905725&lt;/D&gt;&lt;D xsi:type="xsd:double"&gt;8.35750725051098&lt;/D&gt;&lt;D xsi:type="xsd:double"&gt;6.82621334360386&lt;/D&gt;&lt;D xsi:type="xsd:double"&gt;6.94392110568055&lt;/D&gt;&lt;D xsi:type="xsd:double"&gt;6.7889567814407&lt;/D&gt;&lt;D xsi:type="xsd:double"&gt;6.68841103502245&lt;/D&gt;&lt;D xsi:type="xsd:double"&gt;6.32768754946415&lt;/D&gt;&lt;D xsi:type="xsd:double"&gt;7.89270250730834&lt;/D&gt;&lt;D xsi:type="xsd:double"&gt;6.93853178761903&lt;/D&gt;&lt;D xsi:type="xsd:double"&gt;7.31821300190903&lt;/D&gt;&lt;D xsi:type="xsd:double"&gt;6.9733312109451004&lt;/D&gt;&lt;D xsi:type="xsd:double"&gt;8.07370375749934&lt;/D&gt;&lt;D xsi:type="xsd:double"&gt;8.24978571885244&lt;/D&gt;&lt;D xsi:type="xsd:double"&gt;7.29021072822549&lt;/D&gt;&lt;D xsi:type="xsd:double"&gt;6.70812413030312&lt;/D&gt;&lt;D xsi:type="xsd:double"&gt;6.54814164995774&lt;/D&gt;&lt;D xsi:type="xsd:double"&gt;6.79902943413019&lt;/D&gt;&lt;D xsi:type="xsd:double"&gt;6.70297873308991&lt;/D&gt;&lt;D xsi:type="xsd:double"&gt;6.76516701293868&lt;/D&gt;&lt;D xsi:type="xsd:double"&gt;7.01291600516301&lt;/D&gt;&lt;D xsi:type="xsd:double"&gt;7.00474702313976&lt;/D&gt;&lt;D xsi:type="xsd:double"&gt;6.93498597756525&lt;/D&gt;&lt;D xsi:type="xsd:double"&gt;7.30642965055231&lt;/D&gt;&lt;D xsi:type="xsd:double"&gt;6.94885919962029&lt;/D&gt;&lt;D xsi:type="xsd:double"&gt;7.1803885922018&lt;/D&gt;&lt;/FQL&gt;&lt;FQL&gt;&lt;Q&gt;DDR3512M-FDS^FG_PRICE_MAVG(0,,,,30)&lt;/Q&gt;&lt;R&gt;1&lt;/R&gt;&lt;C&gt;1&lt;/C&gt;&lt;D xsi:type="xsd:double"&gt;0.9396248&lt;/D&gt;&lt;/FQL&gt;&lt;FQL&gt;&lt;Q&gt;NI-FDS^FG_PRICE(0)/MAX(FG_PRICE(0,-1AY))&lt;/Q&gt;&lt;R&gt;1&lt;/R&gt;&lt;C&gt;1&lt;/C&gt;&lt;D xsi:type="xsd:double"&gt;0.72042048758667&lt;/D&gt;&lt;/FQL&gt;&lt;FQL&gt;&lt;Q&gt;COPP-FDS^FG_PRICE_CHANGE(0,-1AY)&lt;/Q&gt;&lt;R&gt;1&lt;/R&gt;&lt;C&gt;1&lt;/C&gt;&lt;D xsi:type="xsd:double"&gt;11.0409264376892&lt;/D&gt;&lt;/FQL&gt;&lt;FQL&gt;&lt;Q&gt;KSA^FG_PRICE_MAVG(0,,,,200)&lt;/Q&gt;&lt;R&gt;1&lt;/R&gt;&lt;C&gt;1&lt;/C&gt;&lt;D xsi:type="xsd:double"&gt;41.66525&lt;/D&gt;&lt;/FQL&gt;&lt;FQL&gt;&lt;Q&gt;EZA^FG_PRICE_MAVG(0,,,,30)&lt;/Q&gt;&lt;R&gt;1&lt;/R&gt;&lt;C&gt;1&lt;/C&gt;&lt;D xsi:type="xsd:double"&gt;42.978&lt;/D&gt;&lt;/FQL&gt;&lt;FQL&gt;&lt;Q&gt;ECH^FG_PRICE(0)&lt;/Q&gt;&lt;R&gt;1&lt;/R&gt;&lt;C&gt;1&lt;/C&gt;&lt;D xsi:type="xsd:double"&gt;26.24&lt;/D&gt;&lt;/FQL&gt;&lt;FQL&gt;&lt;Q&gt;VNM^FG_TOTAL_RETURNC(0,-1AM)&lt;/Q&gt;&lt;R&gt;1&lt;/R&gt;&lt;C&gt;1&lt;/C&gt;&lt;D xsi:type="xsd:double"&gt;-5.1927624&lt;/D&gt;&lt;/FQL&gt;&lt;FQL&gt;&lt;Q&gt;TUR^PERCENT_CHANGE(FMA_EPS(+1,0,,,,"PORTAGG","MEAN"),FMA_EPS(+1,-3AM,,,,"PORTAGG","MEAN"))&lt;/Q&gt;&lt;R&gt;1&lt;/R&gt;&lt;C&gt;1&lt;/C&gt;&lt;D xsi:type="xsd:double"&gt;-8.5110815664133&lt;/D&gt;&lt;/FQL&gt;&lt;FQL&gt;&lt;Q&gt;GREK^P_PRICE(0)/P_PRICE_HIGH_PR(0,,,,,,"PRICE","INTRA","52W")&lt;/Q&gt;&lt;R&gt;1&lt;/R&gt;&lt;C&gt;1&lt;/C&gt;&lt;D xsi:type="xsd:double"&gt;0.9686139&lt;/D&gt;&lt;/FQL&gt;&lt;FQL&gt;&lt;Q&gt;EWZ^FG_TOTAL_RETURNC(0,-6AM)&lt;/Q&gt;&lt;R&gt;1&lt;/R&gt;&lt;C&gt;1&lt;/C&gt;&lt;D xsi:type="xsd:double"&gt;-12.259447&lt;/D&gt;&lt;/FQL&gt;&lt;FQL&gt;&lt;Q&gt;EWM^FG_TOTAL_RETURNC(0,-3AM)&lt;/Q&gt;&lt;R&gt;1&lt;/R&gt;&lt;C&gt;1&lt;/C&gt;&lt;D xsi:type="xsd:double"&gt;8.698904&lt;/D&gt;&lt;/FQL&gt;&lt;FQL&gt;&lt;Q&gt;EPOL^FG_TOTAL_RETURNC(0,-1AM)&lt;/Q&gt;&lt;R&gt;1&lt;/R&gt;&lt;C&gt;1&lt;/C&gt;&lt;D xsi:type="xsd:double"&gt;3.6989808&lt;/D&gt;&lt;/FQL&gt;&lt;FQL&gt;&lt;Q&gt;INDA^SIZE(FG_CONSTITUENTS)&lt;/Q&gt;&lt;R&gt;1&lt;/R&gt;&lt;C&gt;1&lt;/C&gt;&lt;D xsi:type="xsd:long"&gt;147&lt;/D&gt;&lt;/FQL&gt;&lt;FQL&gt;&lt;Q&gt;EWT^SIZE(FG_CONSTITUENTS)&lt;/Q&gt;&lt;R&gt;1&lt;/R&gt;&lt;C&gt;1&lt;/C&gt;&lt;D xsi:type="xsd:long"&gt;90&lt;/D&gt;&lt;/FQL&gt;&lt;FQL&gt;&lt;Q&gt;ECH^FMA_COS_DOWN("EPS","1M",+1,NOW,,,"PORTAGG","MEANR")&lt;/Q&gt;&lt;R&gt;1&lt;/R&gt;&lt;C&gt;1&lt;/C&gt;&lt;D xsi:type="xsd:double"&gt;9&lt;/D&gt;&lt;/FQL&gt;&lt;FQL&gt;&lt;Q&gt;VWO^FG_FCF_YIELD_NTM(0)&lt;/Q&gt;&lt;R&gt;1&lt;/R&gt;&lt;C&gt;1&lt;/C&gt;&lt;D xsi:type="xsd:double"&gt;5.42033256095268&lt;/D&gt;&lt;/FQL&gt;&lt;FQL&gt;&lt;Q&gt;CNYA^FMA_EVAL_EBITDA(NTMA,0,,,"PORTAGG","MEANR")&lt;/Q&gt;&lt;R&gt;1&lt;/R&gt;&lt;C&gt;1&lt;/C&gt;&lt;D xsi:type="xsd:double"&gt;9.47552911768385&lt;/D&gt;&lt;/FQL&gt;&lt;FQL&gt;&lt;Q&gt;EWM^FG_PRICE_MAVG(0,,,,30)&lt;/Q&gt;&lt;R&gt;1&lt;/R&gt;&lt;C&gt;1&lt;/C&gt;&lt;D xsi:type="xsd:double"&gt;22.861&lt;/D&gt;&lt;/FQL&gt;&lt;FQL&gt;&lt;Q&gt;QAT^FMA_PCT_ABOVE_MAVG(200,0,,,,"PORTAGG")&lt;/Q&gt;&lt;R&gt;1&lt;/R&gt;&lt;C&gt;1&lt;/C&gt;&lt;D xsi:type="xsd:double"&gt;45.7142857142857&lt;/D&gt;&lt;/FQL&gt;&lt;FQL&gt;&lt;Q&gt;EWW^FG_TOTAL_RETURNC(0,-3AM)&lt;/Q&gt;&lt;R&gt;1&lt;/R&gt;&lt;C&gt;1&lt;/C&gt;&lt;D xsi:type="xsd:double"&gt;-8.950358&lt;/D&gt;&lt;/FQL&gt;&lt;FQL&gt;&lt;Q&gt;EIDO^FMA_PCT_ABOVE_MAVG(200,0,,,,"PORTAGG")&lt;/Q&gt;&lt;R&gt;1&lt;/R&gt;&lt;C&gt;1&lt;/C&gt;&lt;D xsi:type="xsd:double"&gt;36.6197183098592&lt;/D&gt;&lt;/FQL&gt;&lt;FQL&gt;&lt;Q&gt;CNYA^FMA_PCT_ABOVE_MAVG(200,0,,,,"PORTAGG")&lt;/Q&gt;&lt;R&gt;1&lt;/R&gt;&lt;C&gt;1&lt;/C&gt;&lt;D xsi:type="xsd:double"&gt;40.2061855670103&lt;/D&gt;&lt;/FQL&gt;&lt;FQL&gt;&lt;Q&gt;VGK^P_PRICE(0)/P_PRICE_HIGH_PR(0,,,,,,"PRICE","INTRA","52W")&lt;/Q&gt;&lt;R&gt;1&lt;/R&gt;&lt;C&gt;1&lt;/C&gt;&lt;D xsi:type="xsd:double"&gt;0.9574814&lt;/D&gt;&lt;/FQL&gt;&lt;FQL&gt;&lt;Q&gt;SPY^SIZE(FG_CONSTITUENTS)&lt;/Q&gt;&lt;R&gt;1&lt;/R&gt;&lt;C&gt;1&lt;/C&gt;&lt;D xsi:type="xsd:long"&gt;503&lt;/D&gt;&lt;/FQL&gt;&lt;FQL&gt;&lt;Q&gt;VNM^SIZE(FG_CONSTITUENTS)&lt;/Q&gt;&lt;R&gt;1&lt;/R&gt;&lt;C&gt;1&lt;/C&gt;&lt;D xsi:type="xsd:long"&gt;49&lt;/D&gt;&lt;/FQL&gt;&lt;FQL&gt;&lt;Q&gt;EWT^FMA_COS_DOWN("EPS","1M",+1,NOW,,,"PORTAGG","MEANR")&lt;/Q&gt;&lt;R&gt;1&lt;/R&gt;&lt;C&gt;1&lt;/C&gt;&lt;D xsi:type="xsd:double"&gt;25&lt;/D&gt;&lt;/FQL&gt;&lt;FQL&gt;&lt;Q&gt;ECH^FMA_COS_UP("EPS","1M",+1,NOW,,,"PORTAGG","MEANR")&lt;/Q&gt;&lt;R&gt;1&lt;/R&gt;&lt;C&gt;1&lt;/C&gt;&lt;D xsi:type="xsd:double"&gt;12&lt;/D&gt;&lt;/FQL&gt;&lt;FQL&gt;&lt;Q&gt;EWZ^FG_ROE(0)&lt;/Q&gt;&lt;R&gt;1&lt;/R&gt;&lt;C&gt;1&lt;/C&gt;&lt;D xsi:type="xsd:double"&gt;19.7114263927476&lt;/D&gt;&lt;/FQL&gt;&lt;FQL&gt;&lt;Q&gt;REFSAREPO-FDS^PROPER_NAME(0,,,"SECURITY","NAME")&lt;/Q&gt;&lt;R&gt;1&lt;/R&gt;&lt;C&gt;1&lt;/C&gt;&lt;D xsi:type="xsd:string"&gt;Saudi Arabia Repo Rate&lt;/D&gt;&lt;/FQL&gt;&lt;FQL&gt;&lt;Q&gt;REFPHRREPO-FDS^PROPER_NAME(0,,,"SECURITY","NAME")&lt;/Q&gt;&lt;R&gt;1&lt;/R&gt;&lt;C&gt;1&lt;/C&gt;&lt;D xsi:type="xsd:string"&gt;Philippines Reverse Repo Rate - Overnight&lt;/D&gt;&lt;/FQL&gt;&lt;FQL&gt;&lt;Q&gt;TRYTR7Y-FDS^PCTCHG(FG_YIELD(0,,,,"YTM"),FG_YIELD(-1AM,,,,"YTM"))&lt;/Q&gt;&lt;R&gt;1&lt;/R&gt;&lt;C&gt;1&lt;/C&gt;&lt;D xsi:type="xsd:double"&gt;-5.431099&lt;/D&gt;&lt;/FQL&gt;&lt;FQL&gt;&lt;Q&gt;TRYIN10Y-FDS^FG_YIELD(0,,,,"YTM")&lt;/Q&gt;&lt;R&gt;1&lt;/R&gt;&lt;C&gt;1&lt;/C&gt;&lt;D xsi:type="xsd:double"&gt;6.9705&lt;/D&gt;&lt;/FQL&gt;&lt;FQL&gt;&lt;Q&gt;VWO^FMA_DIV_YLD(NTMA,NOW,NOW,M,"PORTAGG","MEANR")&lt;/Q&gt;&lt;R&gt;1&lt;/R&gt;&lt;C&gt;1&lt;/C&gt;&lt;D xsi:type="xsd:double"&gt;3.05903917466029&lt;/D&gt;&lt;/FQL&gt;&lt;FQL&gt;&lt;Q&gt;MCHI^FG_FCF_YIELD_NTM(0)&lt;/Q&gt;&lt;R&gt;1&lt;/R&gt;&lt;C&gt;1&lt;/C&gt;&lt;D xsi:type="xsd:double"&gt;7.60982631172532&lt;/D&gt;&lt;/FQL&gt;&lt;FQL&gt;&lt;Q&gt;CC_IN^FG_COMPANY_NAME&lt;/Q&gt;&lt;R&gt;1&lt;/R&gt;&lt;C&gt;1&lt;/C&gt;&lt;D xsi:type="xsd:string"&gt;India&lt;/D&gt;&lt;/FQL&gt;&lt;FQL&gt;&lt;Q&gt;USDTRY^STD(FG_PRICE_CHANGE(0,-1AY,AM))&lt;/Q&gt;&lt;R&gt;1&lt;/R&gt;&lt;C&gt;1&lt;/C&gt;&lt;D xsi:type="xsd:double"&gt;3.72028301712186&lt;/D&gt;&lt;/FQL&gt;&lt;FQL&gt;&lt;Q&gt;USDINR^STD(FG_PRICE_CHANGE(0,-1AY,AM))&lt;/Q&gt;&lt;R&gt;1&lt;/R&gt;&lt;C&gt;1&lt;/C&gt;&lt;D xsi:type="xsd:double"&gt;0.372061591716455&lt;/D&gt;&lt;/FQL&gt;&lt;FQL&gt;&lt;Q&gt;USDMYR^FG_PRICE_CHANGE(0,-3AM)&lt;/Q&gt;&lt;R&gt;1&lt;/R&gt;&lt;C&gt;1&lt;/C&gt;&lt;D xsi:type="xsd:double"&gt;-2.0069003&lt;/D&gt;&lt;/FQL&gt;&lt;FQL&gt;&lt;Q&gt;USDIDR^STD(FG_PRICE_CHANGE(0,-1AY,AM))&lt;/Q&gt;&lt;R&gt;1&lt;/R&gt;&lt;C&gt;1&lt;/C&gt;&lt;D xsi:type="xsd:double"&gt;1.71505233235376&lt;/D&gt;&lt;/FQL&gt;&lt;FQL&gt;&lt;Q&gt;FC0000AE^FMA_EPS(NTMA,-20AY,0,CY,,"PORTAGG","MEANR")&lt;/Q&gt;&lt;R&gt;20&lt;/R&gt;&lt;C&gt;1&lt;/C&gt;&lt;D xsi:type="xsd:string"&gt;@NA&lt;/D&gt;&lt;D xsi:type="xsd:string"&gt;@NA&lt;/D&gt;&lt;D xsi:type="xsd:double"&gt;9.51942202383999&lt;/D&gt;&lt;D xsi:type="xsd:double"&gt;6.27417255991747&lt;/D&gt;&lt;D xsi:type="xsd:double"&gt;8.02074819362704&lt;/D&gt;&lt;D xsi:type="xsd:double"&gt;5.61305265783873&lt;/D&gt;&lt;D xsi:type="xsd:double"&gt;4.48773354464463&lt;/D&gt;&lt;D xsi:type="xsd:double"&gt;4.36276532972229&lt;/D&gt;&lt;D xsi:type="xsd:double"&gt;4.57776089413252&lt;/D&gt;&lt;D xsi:type="xsd:double"&gt;5.61852556037871&lt;/D&gt;&lt;D xsi:type="xsd:double"&gt;6.62765839680209&lt;/D&gt;&lt;D xsi:type="xsd:double"&gt;6.49328499289418&lt;/D&gt;&lt;D xsi:type="xsd:double"&gt;6.08610782877682&lt;/D&gt;&lt;D xsi:type="xsd:double"&gt;7.11967239035059&lt;/D&gt;&lt;D xsi:type="xsd:double"&gt;7.13788542966966&lt;/D&gt;&lt;D xsi:type="xsd:double"&gt;7.02066550067882&lt;/D&gt;&lt;D xsi:type="xsd:double"&gt;5.12773396645605&lt;/D&gt;&lt;D xsi:type="xsd:double"&gt;7.54796836254382&lt;/D&gt;&lt;D xsi:type="xsd:double"&gt;11.3918613623253&lt;/D&gt;&lt;D xsi:type="xsd:double"&gt;11.0560462161177&lt;/D&gt;&lt;/FQL&gt;&lt;FQL&gt;&lt;Q&gt;INDA^P_PRICE_RETURNS_PR('52W',2,-10AY,0,AM)&lt;/Q&gt;&lt;R&gt;121&lt;/R&gt;&lt;C&gt;1&lt;/C&gt;&lt;D xsi:type="xsd:double"&gt;23.428785&lt;/D&gt;&lt;D xsi:type="xsd:double"&gt;50.759148&lt;/D&gt;&lt;D xsi:type="xsd:double"&gt;31.765902&lt;/D&gt;&lt;D xsi:type="xsd:double"&gt;23.19498&lt;/D&gt;&lt;D xsi:type="xsd:double"&gt;32.972443&lt;/D&gt;&lt;D xsi:type="xsd:double"&gt;26.501083&lt;/D&gt;&lt;D xsi:type="xsd:double"&gt;30.541945&lt;/D&gt;&lt;D xsi:type="xsd:double"&gt;41.90593&lt;/D&gt;&lt;D xsi:type="xsd:double"&gt;30.03869&lt;/D&gt;&lt;D xsi:type="xsd:double"&gt;21.466839&lt;/D&gt;&lt;D xsi:type="xsd:double"&gt;5.4370046&lt;/D&gt;&lt;D xsi:type="xsd:double"&gt;2.757895&lt;/D&gt;&lt;D xsi:type="xsd:double"&gt;7.8837276&lt;/D&gt;&lt;D xsi:type="xsd:double"&gt;-1.2532532&lt;/D&gt;&lt;D xsi:type="xsd:double"&gt;-10.508621&lt;/D&gt;&lt;D xsi:type="xsd:double"&gt;0.06005764&lt;/D&gt;&lt;D xsi:type="xsd:double"&gt;-13.258463&lt;/D&gt;&lt;D xsi:type="xsd:double"&gt;-8.852631&lt;/D&gt;&lt;D xsi:type="xsd:double"&gt;-20.978428&lt;/D&gt;&lt;D xsi:type="xsd:double"&gt;-25.88451&lt;/D&gt;&lt;D xsi:type="xsd:double"&gt;-19.155163&lt;/D&gt;&lt;D xsi:type="xsd:double"&gt;-12.295574&lt;/D&gt;&lt;D xsi:type="xsd:double"&gt;-12.879456&lt;/D&gt;&lt;D xsi:type="xsd:double"&gt;-4.9608946&lt;/D&gt;&lt;D xsi:type="xsd:double"&gt;-7.1700335&lt;/D&gt;&lt;D xsi:type="xsd:double"&gt;-1.1314154&lt;/D&gt;&lt;D xsi:type="xsd:double"&gt;7.0866942&lt;/D&gt;&lt;D xsi:type="xsd:double"&gt;1.5229225&lt;/D&gt;&lt;D xsi:type="xsd:double"&gt;-2.4951994&lt;/D&gt;&lt;D xsi:type="xsd:double"&gt;-0.6214678&lt;/D&gt;&lt;D xsi:type="xsd:double"&gt;10.51445&lt;/D&gt;&lt;D xsi:type="xsd:double"&gt;20.404613&lt;/D&gt;&lt;D xsi:type="xsd:double"&gt;19.475735&lt;/D&gt;&lt;D xsi:type="xsd:double"&gt;12.521768&lt;/D&gt;&lt;D xsi:type="xsd:double"&gt;23.664188&lt;/D&gt;&lt;D xsi:type="xsd:double"&gt;19.570005&lt;/D&gt;&lt;D xsi:type="xsd:double"&gt;18.761826&lt;/D&gt;&lt;D xsi:type="xsd:double"&gt;14.686847&lt;/D&gt;&lt;D xsi:type="xsd:double"&gt;18.00077&lt;/D&gt;&lt;D xsi:type="xsd:double"&gt;16.46719&lt;/D&gt;&lt;D xsi:type="xsd:double"&gt;33.08809&lt;/D&gt;&lt;D xsi:type="xsd:double"&gt;34.815716&lt;/D&gt;&lt;D xsi:type="xsd:double"&gt;37.316277&lt;/D&gt;&lt;D xsi:type="xsd:double"&gt;22.163307&lt;/D&gt;&lt;D xsi:type="xsd:double"&gt;8.45648&lt;/D&gt;&lt;D xsi:type="xsd:double"&gt;12.082553&lt;/D&gt;&lt;D xsi:type="xsd:double"&gt;4.0181994&lt;/D&gt;&lt;D xsi:type="xsd:double"&gt;3.1223655&lt;/D&gt;&lt;D xsi:type="xsd:double"&gt;0.23984909&lt;/D&gt;&lt;D xsi:type="xsd:double"&gt;6.3039064&lt;/D&gt;&lt;D xsi:type="xsd:double"&gt;-0.710696&lt;/D&gt;&lt;D xsi:type="xsd:double"&gt;-11.879957&lt;/D&gt;&lt;D xsi:type="xsd:double"&gt;-6.198925&lt;/D&gt;&lt;D xsi:type="xsd:double"&gt;-6.803876&lt;/D&gt;&lt;D xsi:type="xsd:double"&gt;-10.450625&lt;/D&gt;&lt;D xsi:type="xsd:double"&gt;-9.284317&lt;/D&gt;&lt;D xsi:type="xsd:double"&gt;7.058811&lt;/D&gt;&lt;D xsi:type="xsd:double"&gt;3.4927368&lt;/D&gt;&lt;D xsi:type="xsd:double"&gt;2.0068645&lt;/D&gt;&lt;D xsi:type="xsd:double"&gt;5.9511065&lt;/D&gt;&lt;D xsi:type="xsd:double"&gt;3.1176925&lt;/D&gt;&lt;D xsi:type="xsd:double"&gt;-8.135676&lt;/D&gt;&lt;D xsi:type="xsd:double"&gt;-6.102723&lt;/D&gt;&lt;D xsi:type="xsd:double"&gt;16.404009&lt;/D&gt;&lt;D xsi:type="xsd:double"&gt;7.4753404&lt;/D&gt;&lt;D xsi:type="xsd:double"&gt;9.10145&lt;/D&gt;&lt;D xsi:type="xsd:double"&gt;10.707951&lt;/D&gt;&lt;D xsi:type="xsd:double"&gt;12.624729&lt;/D&gt;&lt;D xsi:type="xsd:double"&gt;-34.89707&lt;/D&gt;&lt;D xsi:type="xsd:double"&gt;-26.962143&lt;/D&gt;&lt;D xsi:type="xsd:double"&gt;-23.435223&lt;/D&gt;&lt;D xsi:type="xsd:double"&gt;-17.249012&lt;/D&gt;&lt;D xsi:type="xsd:double"&gt;-9.566462&lt;/D&gt;&lt;D xsi:type="xsd:double"&gt;4.0401697&lt;/D&gt;&lt;D xsi:type="xsd:double"&gt;7.885492&lt;/D&gt;&lt;D xsi:type="xsd:double"&gt;2.988577&lt;/D&gt;&lt;D xsi:type="xsd:double"&gt;6.960821&lt;/D&gt;&lt;D xsi:type="xsd:double"&gt;11.999583&lt;/D&gt;&lt;D xsi:type="xsd:double"&gt;14.08236&lt;/D&gt;&lt;D xsi:type="xsd:double"&gt;21.509314&lt;/D&gt;&lt;D xsi:type="xsd:double"&gt;86.80265&lt;/D&gt;&lt;D xsi:type="xsd:double"&gt;55.46322&lt;/D&gt;&lt;D xsi:type="xsd:double"&gt;69.609924&lt;/D&gt;&lt;D xsi:type="xsd:double"&gt;56.119&lt;/D&gt;&lt;D xsi:type="xsd:double"&gt;39.277958&lt;/D&gt;&lt;D xsi:type="xsd:double"&gt;38.52289&lt;/D&gt;&lt;D xsi:type="xsd:double"&gt;42.95324&lt;/D&gt;&lt;D xsi:type="xsd:double"&gt;44.38107&lt;/D&gt;&lt;D xsi:type="xsd:double"&gt;36.09245&lt;/D&gt;&lt;D xsi:type="xsd:double"&gt;19.244492&lt;/D&gt;&lt;D xsi:type="xsd:double"&gt;22.045135&lt;/D&gt;&lt;D xsi:type="xsd:double"&gt;10.667753&lt;/D&gt;&lt;D xsi:type="xsd:double"&gt;15.307629&lt;/D&gt;&lt;D xsi:type="xsd:double"&gt;17.23963&lt;/D&gt;&lt;D xsi:type="xsd:double"&gt;0.60219765&lt;/D&gt;&lt;D xsi:type="xsd:double"&gt;-6.9084764&lt;/D&gt;&lt;D xsi:type="xsd:double"&gt;-0.96297264&lt;/D&gt;&lt;D xsi:type="xsd:double"&gt;0.7197261&lt;/D&gt;&lt;D xsi:type="xsd:double"&gt;-5.880654&lt;/D&gt;&lt;D xsi:type="xsd:double"&gt;-13.792724&lt;/D&gt;&lt;D xsi:type="xsd:double"&gt;-8.154928&lt;/D&gt;&lt;D xsi:type="xsd:double"&gt;-3.2561421&lt;/D&gt;&lt;D xsi:type="xsd:double"&gt;-9.726059&lt;/D&gt;&lt;D xsi:type="xsd:double"&gt;-9.596407&lt;/D&gt;&lt;D xsi:type="xsd:double"&gt;-13.616925&lt;/D&gt;&lt;D xsi:type="xsd:double"&gt;-9.891349&lt;/D&gt;&lt;D xsi:type="xsd:double"&gt;0.26980639&lt;/D&gt;&lt;D xsi:type="xsd:double"&gt;11.140907&lt;/D&gt;&lt;D xsi:type="xsd:double"&gt;9.8047495&lt;/D&gt;&lt;D xsi:type="xsd:double"&gt;-1.3140142&lt;/D&gt;&lt;D xsi:type="xsd:double"&gt;3.5011888&lt;/D&gt;&lt;D xsi:type="xsd:double"&gt;9.017801&lt;/D&gt;&lt;D xsi:type="xsd:double"&gt;5.100608&lt;/D&gt;&lt;D xsi:type="xsd:double"&gt;14.798117&lt;/D&gt;&lt;D xsi:type="xsd:double"&gt;16.875576&lt;/D&gt;&lt;D xsi:type="xsd:double"&gt;26.784111&lt;/D&gt;&lt;D xsi:type="xsd:double"&gt;30.888058&lt;/D&gt;&lt;D xsi:type="xsd:double"&gt;29.181349&lt;/D&gt;&lt;D xsi:type="xsd:double"&gt;28.717434&lt;/D&gt;&lt;D xsi:type="xsd:double"&gt;28.703917&lt;/D&gt;&lt;D xsi:type="xsd:double"&gt;25.823069&lt;/D&gt;&lt;/FQL&gt;&lt;FQL&gt;&lt;Q&gt;EWZ^FG_TOTAL_RETURNC(-10AY,0,AM)&lt;/Q&gt;&lt;R&gt;121&lt;/R&gt;&lt;C&gt;1&lt;/C&gt;&lt;D xsi:type="xsd:double"&gt;3.7300587&lt;/D&gt;&lt;D xsi:type="xsd:double"&gt;1.3520837&lt;/D&gt;&lt;D xsi:type="xsd:double"&gt;-6.335819&lt;/D&gt;&lt;D xsi:type="xsd:double"&gt;-5.591619&lt;/D&gt;&lt;D xsi:type="xsd:double"&gt;-9.2280445&lt;/D&gt;&lt;D xsi:type="xsd:double"&gt;-10.947811&lt;/D&gt;&lt;D xsi:type="xsd:double"&gt;1.9716859&lt;/D&gt;&lt;D xsi:type="xsd:double"&gt;-4.7385693&lt;/D&gt;&lt;D xsi:type="xsd:double"&gt;-13.607777&lt;/D&gt;&lt;D xsi:type="xsd:double"&gt;14.278626&lt;/D&gt;&lt;D xsi:type="xsd:double"&gt;2.9100895&lt;/D&gt;&lt;D xsi:type="xsd:double"&gt;-4.895896&lt;/D&gt;&lt;D xsi:type="xsd:double"&gt;-4.9974737&lt;/D&gt;&lt;D xsi:type="xsd:double"&gt;-18.305838&lt;/D&gt;&lt;D xsi:type="xsd:double"&gt;-11.728155&lt;/D&gt;&lt;D xsi:type="xsd:double"&gt;3.6075711&lt;/D&gt;&lt;D xsi:type="xsd:double"&gt;6.7091346&lt;/D&gt;&lt;D xsi:type="xsd:double"&gt;-15.559095&lt;/D&gt;&lt;D xsi:type="xsd:double"&gt;-13.126749&lt;/D&gt;&lt;D xsi:type="xsd:double"&gt;8.667028&lt;/D&gt;&lt;D xsi:type="xsd:double"&gt;35.28521&lt;/D&gt;&lt;D xsi:type="xsd:double"&gt;7.57463&lt;/D&gt;&lt;D xsi:type="xsd:double"&gt;-8.151234&lt;/D&gt;&lt;D xsi:type="xsd:double"&gt;3.625381&lt;/D&gt;&lt;D xsi:type="xsd:double"&gt;20.131184&lt;/D&gt;&lt;D xsi:type="xsd:double"&gt;5.4095387&lt;/D&gt;&lt;D xsi:type="xsd:double"&gt;-4.9579678&lt;/D&gt;&lt;D xsi:type="xsd:double"&gt;13.697386&lt;/D&gt;&lt;D xsi:type="xsd:double"&gt;-12.557018&lt;/D&gt;&lt;D xsi:type="xsd:double"&gt;-4.541266&lt;/D&gt;&lt;D xsi:type="xsd:double"&gt;17.603481&lt;/D&gt;&lt;D xsi:type="xsd:double"&gt;8.607805&lt;/D&gt;&lt;D xsi:type="xsd:double"&gt;-5.122328&lt;/D&gt;&lt;D xsi:type="xsd:double"&gt;-2.0682275&lt;/D&gt;&lt;D xsi:type="xsd:double"&gt;-4.1140976&lt;/D&gt;&lt;D xsi:type="xsd:double"&gt;-1.8592596&lt;/D&gt;&lt;D xsi:type="xsd:double"&gt;9.131634&lt;/D&gt;&lt;D xsi:type="xsd:double"&gt;5.117154&lt;/D&gt;&lt;D xsi:type="xsd:double"&gt;10.325396&lt;/D&gt;&lt;D xsi:type="xsd:double"&gt;-1.3005137&lt;/D&gt;&lt;D xsi:type="xsd:double"&gt;-6.2823477&lt;/D&gt;&lt;D xsi:type="xsd:double"&gt;-1.7445207&lt;/D&gt;&lt;D xsi:type="xsd:double"&gt;14.845478&lt;/D&gt;&lt;D xsi:type="xsd:double"&gt;2.4061203&lt;/D&gt;&lt;D xsi:type="xsd:double"&gt;-2.9424667&lt;/D&gt;&lt;D xsi:type="xsd:double"&gt;-1.357472&lt;/D&gt;&lt;D xsi:type="xsd:double"&gt;-12.155962&lt;/D&gt;&lt;D xsi:type="xsd:double"&gt;-13.182938&lt;/D&gt;&lt;D xsi:type="xsd:double"&gt;5.440092&lt;/D&gt;&lt;D xsi:type="xsd:double"&gt;-3.5362363&lt;/D&gt;&lt;D xsi:type="xsd:double"&gt;-2.253604&lt;/D&gt;&lt;D xsi:type="xsd:double"&gt;19.735634&lt;/D&gt;&lt;D xsi:type="xsd:double"&gt;2.4646997&lt;/D&gt;&lt;D xsi:type="xsd:double"&gt;-6.157178&lt;/D&gt;&lt;D xsi:type="xsd:double"&gt;17.104912&lt;/D&gt;&lt;D xsi:type="xsd:double"&gt;2.1990776&lt;/D&gt;&lt;D xsi:type="xsd:double"&gt;0.4529953&lt;/D&gt;&lt;D xsi:type="xsd:double"&gt;-8.771139&lt;/D&gt;&lt;D xsi:type="xsd:double"&gt;-8.576364&lt;/D&gt;&lt;D xsi:type="xsd:double"&gt;18.549347&lt;/D&gt;&lt;D xsi:type="xsd:double"&gt;6.2817574&lt;/D&gt;&lt;D xsi:type="xsd:double"&gt;-11.451542&lt;/D&gt;&lt;D xsi:type="xsd:double"&gt;2.8711557&lt;/D&gt;&lt;D xsi:type="xsd:double"&gt;1.1927485&lt;/D&gt;&lt;D xsi:type="xsd:double"&gt;-0.99009275&lt;/D&gt;&lt;D xsi:type="xsd:double"&gt;12.238002&lt;/D&gt;&lt;D xsi:type="xsd:double"&gt;0.6581187&lt;/D&gt;&lt;D xsi:type="xsd:double"&gt;-6.0949507&lt;/D&gt;&lt;D xsi:type="xsd:double"&gt;-49.44204&lt;/D&gt;&lt;D xsi:type="xsd:double"&gt;13.648642&lt;/D&gt;&lt;D xsi:type="xsd:double"&gt;-7.173997&lt;/D&gt;&lt;D xsi:type="xsd:double"&gt;28.349472&lt;/D&gt;&lt;D xsi:type="xsd:double"&gt;5.5218816&lt;/D&gt;&lt;D xsi:type="xsd:double"&gt;-4.754305&lt;/D&gt;&lt;D xsi:type="xsd:double"&gt;-0.16750693&lt;/D&gt;&lt;D xsi:type="xsd:double"&gt;-3.0872464&lt;/D&gt;&lt;D xsi:type="xsd:double"&gt;13.954294&lt;/D&gt;&lt;D xsi:type="xsd:double"&gt;15.428364&lt;/D&gt;&lt;D xsi:type="xsd:double"&gt;-2.705574&lt;/D&gt;&lt;D xsi:type="xsd:double"&gt;-2.7262807&lt;/D&gt;&lt;D xsi:type="xsd:double"&gt;-4.007846&lt;/D&gt;&lt;D xsi:type="xsd:double"&gt;2.9780984&lt;/D&gt;&lt;D xsi:type="xsd:double"&gt;6.322658&lt;/D&gt;&lt;D xsi:type="xsd:double"&gt;8.651817&lt;/D&gt;&lt;D xsi:type="xsd:double"&gt;-5.731368&lt;/D&gt;&lt;D xsi:type="xsd:double"&gt;-8.9082775&lt;/D&gt;&lt;D xsi:type="xsd:double"&gt;-3.36622&lt;/D&gt;&lt;D xsi:type="xsd:double"&gt;-5.6756735&lt;/D&gt;&lt;D xsi:type="xsd:double"&gt;-7.131487&lt;/D&gt;&lt;D xsi:type="xsd:double"&gt;3.757143&lt;/D&gt;&lt;D xsi:type="xsd:double"&gt;6.263888&lt;/D&gt;&lt;D xsi:type="xsd:double"&gt;10.137165&lt;/D&gt;&lt;D xsi:type="xsd:double"&gt;5.2551746&lt;/D&gt;&lt;D xsi:type="xsd:double"&gt;7.301581&lt;/D&gt;&lt;D xsi:type="xsd:double"&gt;-11.726737&lt;/D&gt;&lt;D xsi:type="xsd:double"&gt;-10.878765&lt;/D&gt;&lt;D xsi:type="xsd:double"&gt;-5.9455576&lt;/D&gt;&lt;D xsi:type="xsd:double"&gt;18.697643&lt;/D&gt;&lt;D xsi:type="xsd:double"&gt;0.32082796&lt;/D&gt;&lt;D xsi:type="xsd:double"&gt;3.229928&lt;/D&gt;&lt;D xsi:type="xsd:double"&gt;-8.70508&lt;/D&gt;&lt;D xsi:type="xsd:double"&gt;-2.1951675&lt;/D&gt;&lt;D xsi:type="xsd:double"&gt;10.231519&lt;/D&gt;&lt;D xsi:type="xsd:double"&gt;-2.8116524&lt;/D&gt;&lt;D xsi:type="xsd:double"&gt;-8.051592&lt;/D&gt;&lt;D xsi:type="xsd:double"&gt;5.269146&lt;/D&gt;&lt;D xsi:type="xsd:double"&gt;7.634139&lt;/D&gt;&lt;D xsi:type="xsd:double"&gt;10.783815&lt;/D&gt;&lt;D xsi:type="xsd:double"&gt;-0.1546979&lt;/D&gt;&lt;D xsi:type="xsd:double"&gt;-5.3610144&lt;/D&gt;&lt;D xsi:type="xsd:double"&gt;4.9115896&lt;/D&gt;&lt;D xsi:type="xsd:double"&gt;-6.0549316&lt;/D&gt;&lt;D xsi:type="xsd:double"&gt;11.262465&lt;/D&gt;&lt;D xsi:type="xsd:double"&gt;6.4795375&lt;/D&gt;&lt;D xsi:type="xsd:double"&gt;-4.230708&lt;/D&gt;&lt;D xsi:type="xsd:double"&gt;0.4551053&lt;/D&gt;&lt;D xsi:type="xsd:double"&gt;-3.110838&lt;/D&gt;&lt;D xsi:type="xsd:double"&gt;-4.177064&lt;/D&gt;&lt;D xsi:type="xsd:double"&gt;3.2856226&lt;/D&gt;&lt;D xsi:type="xsd:double"&gt;-11.973471&lt;/D&gt;&lt;D xsi:type="xsd:double"&gt;3.4737587&lt;/D&gt;&lt;/FQL&gt;&lt;FQL&gt;&lt;Q&gt;EZA^FMA_PE(LTMA,-10AY,0,AM,"PORTAGG","MEANR")&lt;/Q&gt;&lt;R&gt;121&lt;/R&gt;&lt;C&gt;1&lt;/C&gt;&lt;D xsi:type="xsd:double"&gt;16.0444248446806&lt;/D&gt;&lt;D xsi:type="xsd:double"&gt;16.3443969973232&lt;/D&gt;&lt;D xsi:type="xsd:double"&gt;16.4761187585232&lt;/D&gt;&lt;D xsi:type="xsd:double"&gt;15.9173850167227&lt;/D&gt;&lt;D xsi:type="xsd:double"&gt;16.681495284151&lt;/D&gt;&lt;D xsi:type="xsd:double"&gt;16.8171260328143&lt;/D&gt;&lt;D xsi:type="xsd:double"&gt;16.9922138724151&lt;/D&gt;&lt;D xsi:type="xsd:double"&gt;18.3013413842081&lt;/D&gt;&lt;D xsi:type="xsd:double"&gt;18.4000489646833&lt;/D&gt;&lt;D xsi:type="xsd:double"&gt;18.5508345781306&lt;/D&gt;&lt;D xsi:type="xsd:double"&gt;18.4563118240485&lt;/D&gt;&lt;D xsi:type="xsd:double"&gt;17.9193110212612&lt;/D&gt;&lt;D xsi:type="xsd:double"&gt;18.0801305476325&lt;/D&gt;&lt;D xsi:type="xsd:double"&gt;17.2059685069226&lt;/D&gt;&lt;D xsi:type="xsd:double"&gt;17.1775611222395&lt;/D&gt;&lt;D xsi:type="xsd:double"&gt;17.9116565623058&lt;/D&gt;&lt;D xsi:type="xsd:double"&gt;17.5706940786478&lt;/D&gt;&lt;D xsi:type="xsd:double"&gt;16.1552385232363&lt;/D&gt;&lt;D xsi:type="xsd:double"&gt;14.9864662968331&lt;/D&gt;&lt;D xsi:type="xsd:double"&gt;15.826043776284&lt;/D&gt;&lt;D xsi:type="xsd:double"&gt;16.0896640871268&lt;/D&gt;&lt;D xsi:type="xsd:double"&gt;16.075072547543&lt;/D&gt;&lt;D xsi:type="xsd:double"&gt;15.5766882150482&lt;/D&gt;&lt;D xsi:type="xsd:double"&gt;15.7488781002735&lt;/D&gt;&lt;D xsi:type="xsd:double"&gt;16.2587271860876&lt;/D&gt;&lt;D xsi:type="xsd:double"&gt;16.9013555767824&lt;/D&gt;&lt;D xsi:type="xsd:double"&gt;16.6723173742714&lt;/D&gt;&lt;D xsi:type="xsd:double"&gt;16.6513005726185&lt;/D&gt;&lt;D xsi:type="xsd:double"&gt;16.2625449784051&lt;/D&gt;&lt;D xsi:type="xsd:double"&gt;16.4605276294707&lt;/D&gt;&lt;D xsi:type="xsd:double"&gt;17.4680571572664&lt;/D&gt;&lt;D xsi:type="xsd:double"&gt;18.5335198604956&lt;/D&gt;&lt;D xsi:type="xsd:double"&gt;18.493992195382&lt;/D&gt;&lt;D xsi:type="xsd:double"&gt;18.2587560506707&lt;/D&gt;&lt;D xsi:type="xsd:double"&gt;18.3108402501129&lt;/D&gt;&lt;D xsi:type="xsd:double"&gt;17.7827128212772&lt;/D&gt;&lt;D xsi:type="xsd:double"&gt;17.9901174728861&lt;/D&gt;&lt;D xsi:type="xsd:double"&gt;18.0871827294752&lt;/D&gt;&lt;D xsi:type="xsd:double"&gt;17.6496569045113&lt;/D&gt;&lt;D xsi:type="xsd:double"&gt;18.1485266865348&lt;/D&gt;&lt;D xsi:type="xsd:double"&gt;18.8216380416981&lt;/D&gt;&lt;D xsi:type="xsd:double"&gt;18.2554607520551&lt;/D&gt;&lt;D xsi:type="xsd:double"&gt;18.6644633205718&lt;/D&gt;&lt;D xsi:type="xsd:double"&gt;18.4209862955283&lt;/D&gt;&lt;D xsi:type="xsd:double"&gt;18.1650751190672&lt;/D&gt;&lt;D xsi:type="xsd:double"&gt;17.9101118961688&lt;/D&gt;&lt;D xsi:type="xsd:double"&gt;17.4446408350915&lt;/D&gt;&lt;D xsi:type="xsd:double"&gt;16.8631969009438&lt;/D&gt;&lt;D xsi:type="xsd:double"&gt;16.6081693501809&lt;/D&gt;&lt;D xsi:type="xsd:double"&gt;16.0445268924438&lt;/D&gt;&lt;D xsi:type="xsd:double"&gt;15.7410401057659&lt;/D&gt;&lt;D xsi:type="xsd:double"&gt;14.5753944918256&lt;/D&gt;&lt;D xsi:type="xsd:double"&gt;14.85948639377&lt;/D&gt;&lt;D xsi:type="xsd:double"&gt;14.6905653103403&lt;/D&gt;&lt;D xsi:type="xsd:double"&gt;15.3197979979924&lt;/D&gt;&lt;D xsi:type="xsd:double"&gt;15.1332604885851&lt;/D&gt;&lt;D xsi:type="xsd:double"&gt;15.3077900469311&lt;/D&gt;&lt;D xsi:type="xsd:double"&gt;15.3922483457549&lt;/D&gt;&lt;D xsi:type="xsd:double"&gt;15.0356277580045&lt;/D&gt;&lt;D xsi:type="xsd:double"&gt;15.055015732645&lt;/D&gt;&lt;D xsi:type="xsd:double"&gt;14.8588233088652&lt;/D&gt;&lt;D xsi:type="xsd:double"&gt;13.9783318521319&lt;/D&gt;&lt;D xsi:type="xsd:double"&gt;13.9119810920045&lt;/D&gt;&lt;D xsi:type="xsd:double"&gt;13.6468775394099&lt;/D&gt;&lt;D xsi:type="xsd:double"&gt;13.8622842773553&lt;/D&gt;&lt;D xsi:type="xsd:double"&gt;14.6197860411157&lt;/D&gt;&lt;D xsi:type="xsd:double"&gt;14.5774176348489&lt;/D&gt;&lt;D xsi:type="xsd:double"&gt;14.6221179110862&lt;/D&gt;&lt;D xsi:type="xsd:double"&gt;11.8632365289013&lt;/D&gt;&lt;D xsi:type="xsd:double"&gt;12.1803069476656&lt;/D&gt;&lt;D xsi:type="xsd:double"&gt;12.5360611661402&lt;/D&gt;&lt;D xsi:type="xsd:double"&gt;12.950131534388&lt;/D&gt;&lt;D xsi:type="xsd:double"&gt;13.4566174653121&lt;/D&gt;&lt;D xsi:type="xsd:double"&gt;13.4914255334913&lt;/D&gt;&lt;D xsi:type="xsd:double"&gt;13.3004800381916&lt;/D&gt;&lt;D xsi:type="xsd:double"&gt;13.2846854734825&lt;/D&gt;&lt;D xsi:type="xsd:double"&gt;13.5994006182076&lt;/D&gt;&lt;D xsi:type="xsd:double"&gt;14.182395210707&lt;/D&gt;&lt;D xsi:type="xsd:double"&gt;14.0943223071773&lt;/D&gt;&lt;D xsi:type="xsd:double"&gt;14.3620749659281&lt;/D&gt;&lt;D xsi:type="xsd:double"&gt;13.4264649926611&lt;/D&gt;&lt;D xsi:type="xsd:double"&gt;13.0497410352709&lt;/D&gt;&lt;D xsi:type="xsd:double"&gt;12.6118424094369&lt;/D&gt;&lt;D xsi:type="xsd:double"&gt;12.1857738055412&lt;/D&gt;&lt;D xsi:type="xsd:double"&gt;11.6453036550469&lt;/D&gt;&lt;D xsi:type="xsd:double"&gt;10.9662091038239&lt;/D&gt;&lt;D xsi:type="xsd:double"&gt;10.6835621860632&lt;/D&gt;&lt;D xsi:type="xsd:double"&gt;10.8754682076445&lt;/D&gt;&lt;D xsi:type="xsd:double"&gt;10.59374306583&lt;/D&gt;&lt;D xsi:type="xsd:double"&gt;10.3771504584901&lt;/D&gt;&lt;D xsi:type="xsd:double"&gt;10.6686256439242&lt;/D&gt;&lt;D xsi:type="xsd:double"&gt;11.2056224351668&lt;/D&gt;&lt;D xsi:type="xsd:double"&gt;11.1492096822201&lt;/D&gt;&lt;D xsi:type="xsd:double"&gt;10.8734247019837&lt;/D&gt;&lt;D xsi:type="xsd:double"&gt;10.4956244754215&lt;/D&gt;&lt;D xsi:type="xsd:double"&gt;10.1124554123485&lt;/D&gt;&lt;D xsi:type="xsd:double"&gt;10.2051810068248&lt;/D&gt;&lt;D xsi:type="xsd:double"&gt;10.1402849520787&lt;/D&gt;&lt;D xsi:type="xsd:double"&gt;9.62101701855146&lt;/D&gt;&lt;D xsi:type="xsd:double"&gt;9.57277859188485&lt;/D&gt;&lt;D xsi:type="xsd:double"&gt;10.2579147703557&lt;/D&gt;&lt;D xsi:type="xsd:double"&gt;10.1962495272417&lt;/D&gt;&lt;D xsi:type="xsd:double"&gt;10.9588441762061&lt;/D&gt;&lt;D xsi:type="xsd:double"&gt;10.4420237203425&lt;/D&gt;&lt;D xsi:type="xsd:double"&gt;10.1421951527128&lt;/D&gt;&lt;D xsi:type="xsd:double"&gt;10.2495582523718&lt;/D&gt;&lt;D xsi:type="xsd:double"&gt;10.0596155278859&lt;/D&gt;&lt;D xsi:type="xsd:double"&gt;10.2515667412933&lt;/D&gt;&lt;D xsi:type="xsd:double"&gt;10.613873004656&lt;/D&gt;&lt;D xsi:type="xsd:double"&gt;10.3026250745097&lt;/D&gt;&lt;D xsi:type="xsd:double"&gt;10.5437985886653&lt;/D&gt;&lt;D xsi:type="xsd:double"&gt;10.4836435399433&lt;/D&gt;&lt;D xsi:type="xsd:double"&gt;11.0117497909516&lt;/D&gt;&lt;D xsi:type="xsd:double"&gt;11.4020371713144&lt;/D&gt;&lt;D xsi:type="xsd:double"&gt;10.895994661424&lt;/D&gt;&lt;D xsi:type="xsd:double"&gt;10.9107761920477&lt;/D&gt;&lt;D xsi:type="xsd:double"&gt;10.610581104385&lt;/D&gt;&lt;D xsi:type="xsd:double"&gt;10.465098658759&lt;/D&gt;&lt;D xsi:type="xsd:double"&gt;10.7612561754083&lt;/D&gt;&lt;D xsi:type="xsd:double"&gt;10.8141107235337&lt;/D&gt;&lt;D xsi:type="xsd:double"&gt;10.8126423521649&lt;/D&gt;&lt;/FQL&gt;&lt;FQL&gt;&lt;Q&gt;CPALM-FDS^FG_PRICE_CHANGE(0,-1AM)&lt;/Q&gt;&lt;R&gt;1&lt;/R&gt;&lt;C&gt;1&lt;/C&gt;&lt;D xsi:type="xsd:double"&gt;1.93040386080772&lt;/D&gt;&lt;/FQL&gt;&lt;FQL&gt;&lt;Q&gt;FC0000KR^FG_PRICE(0)&lt;/Q&gt;&lt;R&gt;1&lt;/R&gt;&lt;C&gt;1&lt;/C&gt;&lt;D xsi:type="xsd:double"&gt;472.56375&lt;/D&gt;&lt;/FQL&gt;&lt;FQL&gt;&lt;Q&gt;EZA^FG_PRICE(0)&lt;/Q&gt;&lt;R&gt;1&lt;/R&gt;&lt;C&gt;1&lt;/C&gt;&lt;D xsi:type="xsd:double"&gt;43.27&lt;/D&gt;&lt;/FQL&gt;&lt;FQL&gt;&lt;Q&gt;EWM^FG_TOTAL_RETURNC(0,-1AM)&lt;/Q&gt;&lt;R&gt;1&lt;/R&gt;&lt;C&gt;1&lt;/C&gt;&lt;D xsi:type="xsd:double"&gt;1.926446&lt;/D&gt;&lt;/FQL&gt;&lt;FQL&gt;&lt;Q&gt;EWM^FMA_RBICS_REV_CURRENT(30, LOC, "PORTAGG")&lt;/Q&gt;&lt;R&gt;1&lt;/R&gt;&lt;C&gt;1&lt;/C&gt;&lt;D xsi:type="xsd:double"&gt;40.2742682502274&lt;/D&gt;&lt;/FQL&gt;&lt;FQL&gt;&lt;Q&gt;GREK^FMA_EVAL_EBITDA(NTMA,0,,,"PORTAGG","MEANR")&lt;/Q&gt;&lt;R&gt;1&lt;/R&gt;&lt;C&gt;1&lt;/C&gt;&lt;D xsi:type="xsd:double"&gt;5.77439026288126&lt;/D&gt;&lt;/FQL&gt;&lt;FQL&gt;&lt;Q&gt;EIDO^FMA_RBICS_REV_CURRENT(30, LOC, "PORTAGG")&lt;/Q&gt;&lt;R&gt;1&lt;/R&gt;&lt;C&gt;1&lt;/C&gt;&lt;D xsi:type="xsd:double"&gt;54.3072612494851&lt;/D&gt;&lt;/FQL&gt;&lt;FQL&gt;&lt;Q&gt;USDKRW^STD(FG_PRICE_CHANGE(0,-3AY,M))&lt;/Q&gt;&lt;R&gt;1&lt;/R&gt;&lt;C&gt;1&lt;/C&gt;&lt;D xsi:type="xsd:double"&gt;3.01024254390989&lt;/D&gt;&lt;/FQL&gt;&lt;FQL&gt;&lt;Q&gt;USDMYR^FG_PRICE_CHANGE(0,-1AY)&lt;/Q&gt;&lt;R&gt;1&lt;/R&gt;&lt;C&gt;1&lt;/C&gt;&lt;D xsi:type="xsd:double"&gt;3.192079&lt;/D&gt;&lt;/FQL&gt;&lt;FQL&gt;&lt;Q&gt;EZA^FMA_DIV_YLD(NTMA,-10AY,0,AM,"PORTAGG","MEANR")&lt;/Q&gt;&lt;R&gt;121&lt;/R&gt;&lt;C&gt;1&lt;/C&gt;&lt;D xsi:type="xsd:double"&gt;3.2523965896897&lt;/D&gt;&lt;D xsi:type="xsd:double"&gt;3.24934988332989&lt;/D&gt;&lt;D xsi:type="xsd:double"&gt;3.33359296242699&lt;/D&gt;&lt;D xsi:type="xsd:double"&gt;3.56144505058513&lt;/D&gt;&lt;D xsi:type="xsd:double"&gt;3.3035466666181&lt;/D&gt;&lt;D xsi:type="xsd:double"&gt;3.34364283482094&lt;/D&gt;&lt;D xsi:type="xsd:double"&gt;3.33752180428413&lt;/D&gt;&lt;D xsi:type="xsd:double"&gt;3.07202807776848&lt;/D&gt;&lt;D xsi:type="xsd:double"&gt;3.04834472490972&lt;/D&gt;&lt;D xsi:type="xsd:double"&gt;2.97245976882578&lt;/D&gt;&lt;D xsi:type="xsd:double"&gt;3.07634121411571&lt;/D&gt;&lt;D xsi:type="xsd:double"&gt;3.2420341828366&lt;/D&gt;&lt;D xsi:type="xsd:double"&gt;3.14859909691742&lt;/D&gt;&lt;D xsi:type="xsd:double"&gt;3.37306928222204&lt;/D&gt;&lt;D xsi:type="xsd:double"&gt;3.37710235713593&lt;/D&gt;&lt;D xsi:type="xsd:double"&gt;3.24084209357453&lt;/D&gt;&lt;D xsi:type="xsd:double"&gt;3.29447952140083&lt;/D&gt;&lt;D xsi:type="xsd:double"&gt;3.58487063692347&lt;/D&gt;&lt;D xsi:type="xsd:double"&gt;3.74042814310339&lt;/D&gt;&lt;D xsi:type="xsd:double"&gt;3.53889329135891&lt;/D&gt;&lt;D xsi:type="xsd:double"&gt;3.23284673751629&lt;/D&gt;&lt;D xsi:type="xsd:double"&gt;3.19224447360629&lt;/D&gt;&lt;D xsi:type="xsd:double"&gt;3.42914746558174&lt;/D&gt;&lt;D xsi:type="xsd:double"&gt;3.18438186360691&lt;/D&gt;&lt;D xsi:type="xsd:double"&gt;2.98715323016471&lt;/D&gt;&lt;D xsi:type="xsd:double"&gt;2.96011601538311&lt;/D&gt;&lt;D xsi:type="xsd:double"&gt;3.10273025620237&lt;/D&gt;&lt;D xsi:type="xsd:double"&gt;3.21120616083198&lt;/D&gt;&lt;D xsi:type="xsd:double"&gt;3.32759208356343&lt;/D&gt;&lt;D xsi:type="xsd:double"&gt;3.33362676084051&lt;/D&gt;&lt;D xsi:type="xsd:double"&gt;3.14527106177447&lt;/D&gt;&lt;D xsi:type="xsd:double"&gt;3.16565917158009&lt;/D&gt;&lt;D xsi:type="xsd:double"&gt;3.12570567291269&lt;/D&gt;&lt;D xsi:type="xsd:double"&gt;3.15629347688905&lt;/D&gt;&lt;D xsi:type="xsd:double"&gt;3.04198415936493&lt;/D&gt;&lt;D xsi:type="xsd:double"&gt;3.38653711498107&lt;/D&gt;&lt;D xsi:type="xsd:double"&gt;3.21336380402954&lt;/D&gt;&lt;D xsi:type="xsd:double"&gt;3.18347011343749&lt;/D&gt;&lt;D xsi:type="xsd:double"&gt;3.33158754934319&lt;/D&gt;&lt;D xsi:type="xsd:double"&gt;3.23747917909347&lt;/D&gt;&lt;D xsi:type="xsd:double"&gt;3.13840562904469&lt;/D&gt;&lt;D xsi:type="xsd:double"&gt;3.38889655996998&lt;/D&gt;&lt;D xsi:type="xsd:double"&gt;3.3107797263456&lt;/D&gt;&lt;D xsi:type="xsd:double"&gt;3.2857196225051&lt;/D&gt;&lt;D xsi:type="xsd:double"&gt;3.13601976323746&lt;/D&gt;&lt;D xsi:type="xsd:double"&gt;3.25241894395602&lt;/D&gt;&lt;D xsi:type="xsd:double"&gt;3.40944788950573&lt;/D&gt;&lt;D xsi:type="xsd:double"&gt;3.61395671510036&lt;/D&gt;&lt;D xsi:type="xsd:double"&gt;3.631220436656&lt;/D&gt;&lt;D xsi:type="xsd:double"&gt;3.73681267836244&lt;/D&gt;&lt;D xsi:type="xsd:double"&gt;3.76883763260365&lt;/D&gt;&lt;D xsi:type="xsd:double"&gt;4.14107023472373&lt;/D&gt;&lt;D xsi:type="xsd:double"&gt;3.99928413389767&lt;/D&gt;&lt;D xsi:type="xsd:double"&gt;3.94676972856934&lt;/D&gt;&lt;D xsi:type="xsd:double"&gt;3.73446396137105&lt;/D&gt;&lt;D xsi:type="xsd:double"&gt;3.83997135547746&lt;/D&gt;&lt;D xsi:type="xsd:double"&gt;3.8769749313302&lt;/D&gt;&lt;D xsi:type="xsd:double"&gt;3.62967557347753&lt;/D&gt;&lt;D xsi:type="xsd:double"&gt;3.90502282892023&lt;/D&gt;&lt;D xsi:type="xsd:double"&gt;3.75313131204466&lt;/D&gt;&lt;D xsi:type="xsd:double"&gt;3.76916742388957&lt;/D&gt;&lt;D xsi:type="xsd:double"&gt;4.10439922584461&lt;/D&gt;&lt;D xsi:type="xsd:double"&gt;4.20851489283874&lt;/D&gt;&lt;D xsi:type="xsd:double"&gt;4.21675986259414&lt;/D&gt;&lt;D xsi:type="xsd:double"&gt;4.10397517468855&lt;/D&gt;&lt;D xsi:type="xsd:double"&gt;3.69528703280929&lt;/D&gt;&lt;D xsi:type="xsd:double"&gt;3.67252341974017&lt;/D&gt;&lt;D xsi:type="xsd:double"&gt;3.72803802777985&lt;/D&gt;&lt;D xsi:type="xsd:double"&gt;5.9789695818322&lt;/D&gt;&lt;D xsi:type="xsd:double"&gt;4.36848648498605&lt;/D&gt;&lt;D xsi:type="xsd:double"&gt;3.44111294573018&lt;/D&gt;&lt;D xsi:type="xsd:double"&gt;3.35861308337449&lt;/D&gt;&lt;D xsi:type="xsd:double"&gt;3.35629037750812&lt;/D&gt;&lt;D xsi:type="xsd:double"&gt;3.42988773681785&lt;/D&gt;&lt;D xsi:type="xsd:double"&gt;3.50448503357043&lt;/D&gt;&lt;D xsi:type="xsd:double"&gt;3.59674929661933&lt;/D&gt;&lt;D xsi:type="xsd:double"&gt;3.58438355007894&lt;/D&gt;&lt;D xsi:type="xsd:double"&gt;3.7687028456071&lt;/D&gt;&lt;D xsi:type="xsd:double"&gt;3.90096161242256&lt;/D&gt;&lt;D xsi:type="xsd:double"&gt;3.80655144036816&lt;/D&gt;&lt;D xsi:type="xsd:double"&gt;3.87195964281848&lt;/D&gt;&lt;D xsi:type="xsd:double"&gt;4.09739031903683&lt;/D&gt;&lt;D xsi:type="xsd:double"&gt;4.34004526067802&lt;/D&gt;&lt;D xsi:type="xsd:double"&gt;4.28492742588824&lt;/D&gt;&lt;D xsi:type="xsd:double"&gt;4.63345206800773&lt;/D&gt;&lt;D xsi:type="xsd:double"&gt;5.11650951131991&lt;/D&gt;&lt;D xsi:type="xsd:double"&gt;5.1551402927686&lt;/D&gt;&lt;D xsi:type="xsd:double"&gt;4.74749131488755&lt;/D&gt;&lt;D xsi:type="xsd:double"&gt;4.52749679973483&lt;/D&gt;&lt;D xsi:type="xsd:double"&gt;4.64454908201006&lt;/D&gt;&lt;D xsi:type="xsd:double"&gt;4.42874556259393&lt;/D&gt;&lt;D xsi:type="xsd:double"&gt;4.33308245627667&lt;/D&gt;&lt;D xsi:type="xsd:double"&gt;4.33121679588153&lt;/D&gt;&lt;D xsi:type="xsd:double"&gt;4.62025642283192&lt;/D&gt;&lt;D xsi:type="xsd:double"&gt;5.00214092009193&lt;/D&gt;&lt;D xsi:type="xsd:double"&gt;5.24122215775809&lt;/D&gt;&lt;D xsi:type="xsd:double"&gt;4.97371629296186&lt;/D&gt;&lt;D xsi:type="xsd:double"&gt;5.04581192650598&lt;/D&gt;&lt;D xsi:type="xsd:double"&gt;5.39371520440134&lt;/D&gt;&lt;D xsi:type="xsd:double"&gt;5.50287479489085&lt;/D&gt;&lt;D xsi:type="xsd:double"&gt;4.95493888982005&lt;/D&gt;&lt;D xsi:type="xsd:double"&gt;4.89527707646168&lt;/D&gt;&lt;D x</t>
        </r>
      </text>
    </comment>
    <comment ref="A18" authorId="0" shapeId="0" xr:uid="{6BC47512-F871-40D2-8BB1-CABAC82BC019}">
      <text>
        <r>
          <rPr>
            <b/>
            <sz val="9"/>
            <color indexed="81"/>
            <rFont val="Tahoma"/>
            <charset val="1"/>
          </rPr>
          <t>si:type="xsd:double"&gt;4.57794184427525&lt;/D&gt;&lt;D xsi:type="xsd:double"&gt;4.66948182712529&lt;/D&gt;&lt;D xsi:type="xsd:double"&gt;4.92860999789913&lt;/D&gt;&lt;D xsi:type="xsd:double"&gt;4.49101780259288&lt;/D&gt;&lt;D xsi:type="xsd:double"&gt;4.67712856078468&lt;/D&gt;&lt;D xsi:type="xsd:double"&gt;4.41900879382652&lt;/D&gt;&lt;D xsi:type="xsd:double"&gt;4.20771104651133&lt;/D&gt;&lt;D xsi:type="xsd:double"&gt;4.50792314213504&lt;/D&gt;&lt;D xsi:type="xsd:double"&gt;4.48185889955997&lt;/D&gt;&lt;D xsi:type="xsd:double"&gt;4.5547402798385&lt;/D&gt;&lt;D xsi:type="xsd:double"&gt;4.35171284786761&lt;/D&gt;&lt;D xsi:type="xsd:double"&gt;4.17839818797036&lt;/D&gt;&lt;D xsi:type="xsd:double"&gt;4.41239782099164&lt;/D&gt;&lt;D xsi:type="xsd:double"&gt;4.35447055561191&lt;/D&gt;&lt;D xsi:type="xsd:double"&gt;4.33753948447573&lt;/D&gt;&lt;D xsi:type="xsd:double"&gt;4.2958658104546&lt;/D&gt;&lt;D xsi:type="xsd:double"&gt;3.92276208937258&lt;/D&gt;&lt;D xsi:type="xsd:double"&gt;3.95454844472058&lt;/D&gt;&lt;D xsi:type="xsd:double"&gt;3.95024053990584&lt;/D&gt;&lt;/FQL&gt;&lt;FQL&gt;&lt;Q&gt;EZA^FMA_PE(NTMA,-10AY,0,AM,"PORTAGG","MEANR")&lt;/Q&gt;&lt;R&gt;121&lt;/R&gt;&lt;C&gt;1&lt;/C&gt;&lt;D xsi:type="xsd:double"&gt;14.9944857844774&lt;/D&gt;&lt;D xsi:type="xsd:double"&gt;15.1697051909929&lt;/D&gt;&lt;D xsi:type="xsd:double"&gt;15.0305491352608&lt;/D&gt;&lt;D xsi:type="xsd:double"&gt;14.1467671411264&lt;/D&gt;&lt;D xsi:type="xsd:double"&gt;15.265696883442&lt;/D&gt;&lt;D xsi:type="xsd:double"&gt;15.625138012588&lt;/D&gt;&lt;D xsi:type="xsd:double"&gt;15.9447223741145&lt;/D&gt;&lt;D xsi:type="xsd:double"&gt;16.8838162233354&lt;/D&gt;&lt;D xsi:type="xsd:double"&gt;16.8195633567087&lt;/D&gt;&lt;D xsi:type="xsd:double"&gt;17.5328329731406&lt;/D&gt;&lt;D xsi:type="xsd:double"&gt;17.1513305678291&lt;/D&gt;&lt;D xsi:type="xsd:double"&gt;15.9385840367911&lt;/D&gt;&lt;D xsi:type="xsd:double"&gt;16.4518375356984&lt;/D&gt;&lt;D xsi:type="xsd:double"&gt;15.1537964896317&lt;/D&gt;&lt;D xsi:type="xsd:double"&gt;15.3946759068989&lt;/D&gt;&lt;D xsi:type="xsd:double"&gt;15.9610673874458&lt;/D&gt;&lt;D xsi:type="xsd:double"&gt;15.4214650916815&lt;/D&gt;&lt;D xsi:type="xsd:double"&gt;14.1339660335077&lt;/D&gt;&lt;D xsi:type="xsd:double"&gt;13.1199372813089&lt;/D&gt;&lt;D xsi:type="xsd:double"&gt;13.9584996105906&lt;/D&gt;&lt;D xsi:type="xsd:double"&gt;15.2002608657366&lt;/D&gt;&lt;D xsi:type="xsd:double"&gt;15.2456309721523&lt;/D&gt;&lt;D xsi:type="xsd:double"&gt;13.9434745441442&lt;/D&gt;&lt;D xsi:type="xsd:double"&gt;14.450268925122&lt;/D&gt;&lt;D xsi:type="xsd:double"&gt;15.3255575623281&lt;/D&gt;&lt;D xsi:type="xsd:double"&gt;15.7014778009505&lt;/D&gt;&lt;D xsi:type="xsd:double"&gt;14.9663069460555&lt;/D&gt;&lt;D xsi:type="xsd:double"&gt;14.5965419870441&lt;/D&gt;&lt;D xsi:type="xsd:double"&gt;14.1292526890315&lt;/D&gt;&lt;D xsi:type="xsd:double"&gt;14.1233295851474&lt;/D&gt;&lt;D xsi:type="xsd:double"&gt;15.0927942443602&lt;/D&gt;&lt;D xsi:type="xsd:double"&gt;15.4141570739356&lt;/D&gt;&lt;D xsi:type="xsd:double"&gt;16.1972505903599&lt;/D&gt;&lt;D xsi:type="xsd:double"&gt;15.874754984214&lt;/D&gt;&lt;D xsi:type="xsd:double"&gt;16.2729884392826&lt;/D&gt;&lt;D xsi:type="xsd:double"&gt;15.2427434824402&lt;/D&gt;&lt;D xsi:type="xsd:double"&gt;15.7409056067169&lt;/D&gt;&lt;D xsi:type="xsd:double"&gt;15.7457476742512&lt;/D&gt;&lt;D xsi:type="xsd:double"&gt;15.1046406703432&lt;/D&gt;&lt;D xsi:type="xsd:double"&gt;15.5123054664423&lt;/D&gt;&lt;D xsi:type="xsd:double"&gt;15.9034733345906&lt;/D&gt;&lt;D xsi:type="xsd:double"&gt;14.8195952427703&lt;/D&gt;&lt;D xsi:type="xsd:double"&gt;15.1746188330855&lt;/D&gt;&lt;D xsi:type="xsd:double"&gt;15.2644364681587&lt;/D&gt;&lt;D xsi:type="xsd:double"&gt;15.8708501976525&lt;/D&gt;&lt;D xsi:type="xsd:double"&gt;15.4807413414814&lt;/D&gt;&lt;D xsi:type="xsd:double"&gt;14.6569392329188&lt;/D&gt;&lt;D xsi:type="xsd:double"&gt;13.8253171305825&lt;/D&gt;&lt;D xsi:type="xsd:double"&gt;13.7394845990689&lt;/D&gt;&lt;D xsi:type="xsd:double"&gt;13.11048765822&lt;/D&gt;&lt;D xsi:type="xsd:double"&gt;13.0616198451068&lt;/D&gt;&lt;D xsi:type="xsd:double"&gt;11.9823700963212&lt;/D&gt;&lt;D xsi:type="xsd:double"&gt;12.5044565840128&lt;/D&gt;&lt;D xsi:type="xsd:double"&gt;12.4337744595361&lt;/D&gt;&lt;D xsi:type="xsd:double"&gt;13.0676196012146&lt;/D&gt;&lt;D xsi:type="xsd:double"&gt;12.9368758725723&lt;/D&gt;&lt;D xsi:type="xsd:double"&gt;13.0279458640756&lt;/D&gt;&lt;D xsi:type="xsd:double"&gt;13.8035458339323&lt;/D&gt;&lt;D xsi:type="xsd:double"&gt;13.0136436918097&lt;/D&gt;&lt;D xsi:type="xsd:double"&gt;13.2809213286672&lt;/D&gt;&lt;D xsi:type="xsd:double"&gt;13.0783957673043&lt;/D&gt;&lt;D xsi:type="xsd:double"&gt;11.8089651837704&lt;/D&gt;&lt;D xsi:type="xsd:double"&gt;11.940369210879&lt;/D&gt;&lt;D xsi:type="xsd:double"&gt;11.7357250488056&lt;/D&gt;&lt;D xsi:type="xsd:double"&gt;12.0373976547036&lt;/D&gt;&lt;D xsi:type="xsd:double"&gt;12.4264426296771&lt;/D&gt;&lt;D xsi:type="xsd:double"&gt;12.3880994494736&lt;/D&gt;&lt;D xsi:type="xsd:double"&gt;12.0973724342398&lt;/D&gt;&lt;D xsi:type="xsd:double"&gt;7.28978279842586&lt;/D&gt;&lt;D xsi:type="xsd:double"&gt;9.58132035930133&lt;/D&gt;&lt;D xsi:type="xsd:double"&gt;10.7236918280449&lt;/D&gt;&lt;D xsi:type="xsd:double"&gt;11.3201841800695&lt;/D&gt;&lt;D xsi:type="xsd:double"&gt;11.8216490552858&lt;/D&gt;&lt;D xsi:type="xsd:double"&gt;11.2533755403785&lt;/D&gt;&lt;D xsi:type="xsd:double"&gt;10.6860275617329&lt;/D&gt;&lt;D xsi:type="xsd:double"&gt;10.3732172706629&lt;/D&gt;&lt;D xsi:type="xsd:double"&gt;10.3373236820519&lt;/D&gt;&lt;D xsi:type="xsd:double"&gt;10.1328408832743&lt;/D&gt;&lt;D xsi:type="xsd:double"&gt;10.0540657922077&lt;/D&gt;&lt;D xsi:type="xsd:double"&gt;10.3971705479572&lt;/D&gt;&lt;D xsi:type="xsd:double"&gt;10.0256346099296&lt;/D&gt;&lt;D xsi:type="xsd:double"&gt;9.92579063892886&lt;/D&gt;&lt;D xsi:type="xsd:double"&gt;9.5875990125286&lt;/D&gt;&lt;D xsi:type="xsd:double"&gt;9.4177049007135&lt;/D&gt;&lt;D xsi:type="xsd:double"&gt;9.13466187832092&lt;/D&gt;&lt;D xsi:type="xsd:double"&gt;8.8026194035387&lt;/D&gt;&lt;D xsi:type="xsd:double"&gt;8.82285166451449&lt;/D&gt;&lt;D xsi:type="xsd:double"&gt;9.58143991016088&lt;/D&gt;&lt;D xsi:type="xsd:double"&gt;9.59202850291257&lt;/D&gt;&lt;D xsi:type="xsd:double"&gt;9.57805497494657&lt;/D&gt;&lt;D xsi:type="xsd:double"&gt;9.82996996697154&lt;/D&gt;&lt;D xsi:type="xsd:double"&gt;10.0537203757874&lt;/D&gt;&lt;D xsi:type="xsd:double"&gt;10.0479948889872&lt;/D&gt;&lt;D xsi:type="xsd:double"&gt;9.42765599691626&lt;/D&gt;&lt;D xsi:type="xsd:double"&gt;8.77113510583452&lt;/D&gt;&lt;D xsi:type="xsd:double"&gt;8.29502985535376&lt;/D&gt;&lt;D xsi:type="xsd:double"&gt;8.73237920172449&lt;/D&gt;&lt;D xsi:type="xsd:double"&gt;8.6083888218774&lt;/D&gt;&lt;D xsi:type="xsd:double"&gt;8.0847968472935&lt;/D&gt;&lt;D xsi:type="xsd:double"&gt;8.2415461142142&lt;/D&gt;&lt;D xsi:type="xsd:double"&gt;8.98099628921896&lt;/D&gt;&lt;D xsi:type="xsd:double"&gt;8.93519288609464&lt;/D&gt;&lt;D xsi:type="xsd:double"&gt;9.43054545491842&lt;/D&gt;&lt;D xsi:type="xsd:double"&gt;9.07852900503553&lt;/D&gt;&lt;D xsi:type="xsd:double"&gt;8.4150821246218&lt;/D&gt;&lt;D xsi:type="xsd:double"&gt;9.22841326928973&lt;/D&gt;&lt;D xsi:type="xsd:double"&gt;8.85474542025812&lt;/D&gt;&lt;D xsi:type="xsd:double"&gt;9.43159207433314&lt;/D&gt;&lt;D xsi:type="xsd:double"&gt;9.95779019521482&lt;/D&gt;&lt;D xsi:type="xsd:double"&gt;9.36943239053628&lt;/D&gt;&lt;D xsi:type="xsd:double"&gt;9.47351825198302&lt;/D&gt;&lt;D xsi:type="xsd:double"&gt;9.24078272230281&lt;/D&gt;&lt;D xsi:type="xsd:double"&gt;9.70480927910401&lt;/D&gt;&lt;D xsi:type="xsd:double"&gt;9.85911461544805&lt;/D&gt;&lt;D xsi:type="xsd:double"&gt;9.29989401404817&lt;/D&gt;&lt;D xsi:type="xsd:double"&gt;9.4119156691892&lt;/D&gt;&lt;D xsi:type="xsd:double"&gt;9.1474693816304&lt;/D&gt;&lt;D xsi:type="xsd:double"&gt;8.99920564882893&lt;/D&gt;&lt;D xsi:type="xsd:double"&gt;9.91120789064572&lt;/D&gt;&lt;D xsi:type="xsd:double"&gt;9.99560002720255&lt;/D&gt;&lt;D xsi:type="xsd:double"&gt;9.81341468859488&lt;/D&gt;&lt;/FQL&gt;&lt;FQL&gt;&lt;Q&gt;DDR3512M-FDS^FG_PRICE(0)&lt;/Q&gt;&lt;R&gt;1&lt;/R&gt;&lt;C&gt;1&lt;/C&gt;&lt;D xsi:type="xsd:double"&gt;0.92&lt;/D&gt;&lt;/FQL&gt;&lt;FQL&gt;&lt;Q&gt;NI-FDS^FG_PRICE_CHANGE(0,-1AY)&lt;/Q&gt;&lt;R&gt;1&lt;/R&gt;&lt;C&gt;1&lt;/C&gt;&lt;D xsi:type="xsd:double"&gt;-22.1980676328502&lt;/D&gt;&lt;/FQL&gt;&lt;FQL&gt;&lt;Q&gt;COPP-FDS^FG_PRICE_CHANGE(0,-6AM)&lt;/Q&gt;&lt;R&gt;1&lt;/R&gt;&lt;C&gt;1&lt;/C&gt;&lt;D xsi:type="xsd:double"&gt;11.4074465275944&lt;/D&gt;&lt;/FQL&gt;&lt;FQL&gt;&lt;Q&gt;KSA^FG_PRICE_MAVG(0,,,,60)&lt;/Q&gt;&lt;R&gt;1&lt;/R&gt;&lt;C&gt;1&lt;/C&gt;&lt;D xsi:type="xsd:double"&gt;41.505&lt;/D&gt;&lt;/FQL&gt;&lt;FQL&gt;&lt;Q&gt;QAT^FG_PRICE_MAVG(0,,,,200)&lt;/Q&gt;&lt;R&gt;1&lt;/R&gt;&lt;C&gt;1&lt;/C&gt;&lt;D xsi:type="xsd:double"&gt;17.308031&lt;/D&gt;&lt;/FQL&gt;&lt;FQL&gt;&lt;Q&gt;EWM^FG_PRICE(0)&lt;/Q&gt;&lt;R&gt;1&lt;/R&gt;&lt;C&gt;1&lt;/C&gt;&lt;D xsi:type="xsd:double"&gt;23.28&lt;/D&gt;&lt;/FQL&gt;&lt;FQL&gt;&lt;Q&gt;CNYA^FG_PRICE_MAVG(0,,,,200)&lt;/Q&gt;&lt;R&gt;1&lt;/R&gt;&lt;C&gt;1&lt;/C&gt;&lt;D xsi:type="xsd:double"&gt;26.173203&lt;/D&gt;&lt;/FQL&gt;&lt;FQL&gt;&lt;Q&gt;VNM^PERCENT_CHANGE(FMA_EPS(+1,0,,,,"PORTAGG","MEAN"),FMA_EPS(+1,-3AM,,,,"PORTAGG","MEAN"))&lt;/Q&gt;&lt;R&gt;1&lt;/R&gt;&lt;C&gt;1&lt;/C&gt;&lt;D xsi:type="xsd:double"&gt;4.96226796014563&lt;/D&gt;&lt;/FQL&gt;&lt;FQL&gt;&lt;Q&gt;TUR^PERCENT_CHANGE(FMA_EPS(+1,0,,,,"PORTAGG","MEAN"),FMA_EPS(+1,-1AM,,,,"PORTAGG","MEAN"))&lt;/Q&gt;&lt;R&gt;1&lt;/R&gt;&lt;C&gt;1&lt;/C&gt;&lt;D xsi:type="xsd:double"&gt;-5.32639026952004&lt;/D&gt;&lt;/FQL&gt;&lt;FQL&gt;&lt;Q&gt;GREK^FG_TOTAL_RETURNC(0,-6AM)&lt;/Q&gt;&lt;R&gt;1&lt;/R&gt;&lt;C&gt;1&lt;/C&gt;&lt;D xsi:type="xsd:double"&gt;10.356951&lt;/D&gt;&lt;/FQL&gt;&lt;FQL&gt;&lt;Q&gt;EWZ^FG_TOTAL_RETURNC(0,-3AM)&lt;/Q&gt;&lt;R&gt;1&lt;/R&gt;&lt;C&gt;1&lt;/C&gt;&lt;D xsi:type="xsd:double"&gt;-5.9229493&lt;/D&gt;&lt;/FQL&gt;&lt;FQL&gt;&lt;Q&gt;EPOL^PERCENT_CHANGE(FMA_EPS(+1,0,,,,"PORTAGG","MEAN"),FMA_EPS(+1,-3AM,,,,"PORTAGG","MEAN"))&lt;/Q&gt;&lt;R&gt;1&lt;/R&gt;&lt;C&gt;1&lt;/C&gt;&lt;D xsi:type="xsd:double"&gt;-1.36735148501102&lt;/D&gt;&lt;/FQL&gt;&lt;FQL&gt;&lt;Q&gt;VNM^FMA_COS_DOWN("EPS","1M",+1,NOW,,,"PORTAGG","MEANR")&lt;/Q&gt;&lt;R&gt;1&lt;/R&gt;&lt;C&gt;1&lt;/C&gt;&lt;D xsi:type="xsd:double"&gt;12&lt;/D&gt;&lt;/FQL&gt;&lt;FQL&gt;&lt;Q&gt;INDA^FMA_COS_DOWN("EPS","1M",+1,NOW,,,"PORTAGG","MEANR")&lt;/Q&gt;&lt;R&gt;1&lt;/R&gt;&lt;C&gt;1&lt;/C&gt;&lt;D xsi:type="xsd:double"&gt;55&lt;/D&gt;&lt;/FQL&gt;&lt;FQL&gt;&lt;Q&gt;EWT^FMA_COS_UP("EPS","1M",+1,NOW,,,"PORTAGG","MEANR")&lt;/Q&gt;&lt;R&gt;1&lt;/R&gt;&lt;C&gt;1&lt;/C&gt;&lt;D xsi:type="xsd:double"&gt;35&lt;/D&gt;&lt;/FQL&gt;&lt;FQL&gt;&lt;Q&gt;TRYPL10Y-FDS^FG_YIELD(0,,,,"YTM")&lt;/Q&gt;&lt;R&gt;1&lt;/R&gt;&lt;C&gt;1&lt;/C&gt;&lt;D xsi:type="xsd:double"&gt;5.5731&lt;/D&gt;&lt;/FQL&gt;&lt;FQL&gt;&lt;Q&gt;CC_IN^IMF_IFS_RCPI_Q(0)&lt;/Q&gt;&lt;R&gt;0&lt;/R&gt;&lt;C&gt;0&lt;/C&gt;&lt;/FQL&gt;&lt;FQL&gt;&lt;Q&gt;CNYA^FG_FCF_YIELD_NTM(0)&lt;/Q&gt;&lt;R&gt;1&lt;/R&gt;&lt;C&gt;1&lt;/C&gt;&lt;D xsi:type="xsd:double"&gt;6.24729798928141&lt;/D&gt;&lt;/FQL&gt;&lt;FQL&gt;&lt;Q&gt;VWO^FG_PE_NTM(0,,,90,0)&lt;/Q&gt;&lt;R&gt;1&lt;/R&gt;&lt;C&gt;1&lt;/C&gt;&lt;D xsi:type="xsd:double"&gt;12.6414941890963&lt;/D&gt;&lt;/FQL&gt;&lt;FQL&gt;&lt;Q&gt;VNM^FMA_EVAL_EBIT(LTMA,NOW,NOW,M,"PORTAGG","MEANR")&lt;/Q&gt;&lt;R&gt;1&lt;/R&gt;&lt;C&gt;1&lt;/C&gt;&lt;D xsi:type="xsd:double"&gt;17.5313242194594&lt;/D&gt;&lt;/FQL&gt;&lt;FQL&gt;&lt;Q&gt;TUR^FMA_DIV_YLD(NTMA,NOW,NOW,M,"PORTAGG","MEANR")&lt;/Q&gt;&lt;R&gt;1&lt;/R&gt;&lt;C&gt;1&lt;/C&gt;&lt;D xsi:type="xsd:double"&gt;3.9648769882639&lt;/D&gt;&lt;/FQL&gt;&lt;FQL&gt;&lt;Q&gt;QAT^JULIAN(FMA_DIV_YLD(NTMA,NOW,NOW,M,"PORTAGG","MEANR").DATES)&lt;/Q&gt;&lt;R&gt;1&lt;/R&gt;&lt;C&gt;1&lt;/C&gt;&lt;D xsi:type="xsd:long"&gt;45471&lt;/D&gt;&lt;/FQL&gt;&lt;FQL&gt;&lt;Q&gt;GREK^FG_FCF_YIELD_NTM(0)&lt;/Q&gt;&lt;R&gt;0&lt;/R&gt;&lt;C&gt;0&lt;/C&gt;&lt;/FQL&gt;&lt;FQL&gt;&lt;Q&gt;EWZ^FMA_PE(LTM,0,,,"PORTAGG","MEANR")&lt;/Q&gt;&lt;R&gt;1&lt;/R&gt;&lt;C&gt;1&lt;/C&gt;&lt;D xsi:type="xsd:double"&gt;7.35402230295765&lt;/D&gt;&lt;/FQL&gt;&lt;FQL&gt;&lt;Q&gt;VNM^FMA_EVAL_EBITDA(NTMA,0,,,"PORTAGG","MEANR")&lt;/Q&gt;&lt;R&gt;1&lt;/R&gt;&lt;C&gt;1&lt;/C&gt;&lt;D xsi:type="xsd:double"&gt;9.83091853337612&lt;/D&gt;&lt;/FQL&gt;&lt;FQL&gt;&lt;Q&gt;EWZ^JULIAN(FMA_DIV_YLD(NTMA,NOW,NOW,M,"PORTAGG","MEANR").DATES)&lt;/Q&gt;&lt;R&gt;1&lt;/R&gt;&lt;C&gt;1&lt;/C&gt;&lt;D xsi:type="xsd:long"&gt;45471&lt;/D&gt;&lt;/FQL&gt;&lt;FQL&gt;&lt;Q&gt;EWT^FG_FCF_YIELD_NTM(0)&lt;/Q&gt;&lt;R&gt;1&lt;/R&gt;&lt;C&gt;1&lt;/C&gt;&lt;D xsi:type="xsd:double"&gt;3.80556080337323&lt;/D&gt;&lt;/FQL&gt;&lt;FQL&gt;&lt;Q&gt;EIDO^FMA_EVAL_EBITDA(NTMA,0,,,"PORTAGG","MEANR")&lt;/Q&gt;&lt;R&gt;1&lt;/R&gt;&lt;C&gt;1&lt;/C&gt;&lt;D xsi:type="xsd:double"&gt;6.30690864821606&lt;/D&gt;&lt;/FQL&gt;&lt;FQL&gt;&lt;Q&gt;EWW^FG_COMPANY_NAME&lt;/Q&gt;&lt;R&gt;1&lt;/R&gt;&lt;C&gt;1&lt;/C&gt;&lt;D xsi:type="xsd:string"&gt;iShares MSCI Mexico ETF&lt;/D&gt;&lt;/FQL&gt;&lt;FQL&gt;&lt;Q&gt;TRYZA10Y-FDS^FG_YIELD_NAME&lt;/Q&gt;&lt;R&gt;1&lt;/R&gt;&lt;C&gt;1&lt;/C&gt;&lt;D xsi:type="xsd:string"&gt;Treasury - South Africa Benchmark Bond 10Y&lt;/D&gt;&lt;/FQL&gt;&lt;FQL&gt;&lt;Q&gt;USDTRY^FG_PRICE_CHANGE(0,-6AM)&lt;/Q&gt;&lt;R&gt;1&lt;/R&gt;&lt;C&gt;1&lt;/C&gt;&lt;D xsi:type="xsd:double"&gt;9.4990015&lt;/D&gt;&lt;/FQL&gt;&lt;FQL&gt;&lt;Q&gt;USDINR^FG_PRICE_CHANGE(0,-6AM)&lt;/Q&gt;&lt;R&gt;1&lt;/R&gt;&lt;C&gt;1&lt;/C&gt;&lt;D xsi:type="xsd:double"&gt;0.7177949&lt;/D&gt;&lt;/FQL&gt;&lt;FQL&gt;&lt;Q&gt;USDIDR^FG_PRICE_CHANGE(0,-6AM)&lt;/Q&gt;&lt;R&gt;1&lt;/R&gt;&lt;C&gt;1&lt;/C&gt;&lt;D xsi:type="xsd:double"&gt;3.682351&lt;/D&gt;&lt;/FQL&gt;&lt;FQL&gt;&lt;Q&gt;GREK^P_PRICE_RETURNS_PR('52W',2,-10AY,0,AM)&lt;/Q&gt;&lt;R&gt;121&lt;/R&gt;&lt;C&gt;1&lt;/C&gt;&lt;D xsi:type="xsd:double"&gt;38.36303&lt;/D&gt;&lt;D xsi:type="xsd:double"&gt;19.882954&lt;/D&gt;&lt;D xsi:type="xsd:double"&gt;3.0035377&lt;/D&gt;&lt;D xsi:type="xsd:double"&gt;-24.661266&lt;/D&gt;&lt;D xsi:type="xsd:double"&gt;-23.511522&lt;/D&gt;&lt;D xsi:type="xsd:double"&gt;-33.617954&lt;/D&gt;&lt;D xsi:type="xsd:double"&gt;-46.186&lt;/D&gt;&lt;D xsi:type="xsd:double"&gt;-44.075348&lt;/D&gt;&lt;D xsi:type="xsd:double"&gt;-59.025707&lt;/D&gt;&lt;D xsi:type="xsd:double"&gt;-54.89206&lt;/D&gt;&lt;D xsi:type="xsd:double"&gt;-36.45421&lt;/D&gt;&lt;D xsi:type="xsd:double"&gt;-53.641975&lt;/D&gt;&lt;D xsi:type="xsd:double"&gt;-51.58829&lt;/D&gt;&lt;D xsi:type="xsd:double"&gt;-50.5247&lt;/D&gt;&lt;D xsi:type="xsd:double"&gt;-45.502865&lt;/D&gt;&lt;D xsi:type="xsd:double"&gt;-37.175835&lt;/D&gt;&lt;D xsi:type="xsd:double"&gt;-42.02154&lt;/D&gt;&lt;D xsi:type="xsd:double"&gt;-42.95388&lt;/D&gt;&lt;D xsi:type="xsd:double"&gt;-44.867672&lt;/D&gt;&lt;D xsi:type="xsd:double"&gt;-51.235016&lt;/D&gt;&lt;D xsi:type="xsd:double"&gt;-30.064552&lt;/D&gt;&lt;D xsi:type="xsd:double"&gt;-25.204086&lt;/D&gt;&lt;D xsi:type="xsd:double"&gt;-32.26029&lt;/D&gt;&lt;D xsi:type="xsd:double"&gt;-27.31641&lt;/D&gt;&lt;D xsi:type="xsd:double"&gt;-28.74235&lt;/D&gt;&lt;D xsi:type="xsd:double"&gt;-24.369335&lt;/D&gt;&lt;D xsi:type="xsd:double"&gt;-32.91785&lt;/D&gt;&lt;D xsi:type="xsd:double"&gt;-26.850069&lt;/D&gt;&lt;D xsi:type="xsd:double"&gt;-18.144321&lt;/D&gt;&lt;D xsi:type="xsd:double"&gt;-7.893091&lt;/D&gt;&lt;D xsi:type="xsd:double"&gt;15.402615&lt;/D&gt;&lt;D xsi:type="xsd:double"&gt;22.431517&lt;/D&gt;&lt;D xsi:type="xsd:double"&gt;7.2902083&lt;/D&gt;&lt;D xsi:type="xsd:double"&gt;5.4582953&lt;/D&gt;&lt;D xsi:type="xsd:double"&gt;17.08057&lt;/D&gt;&lt;D xsi:type="xsd:double"&gt;34.30314&lt;/D&gt;&lt;D xsi:type="xsd:double"&gt;51.274586&lt;/D&gt;&lt;D xsi:type="xsd:double"&gt;42.01964&lt;/D&gt;&lt;D xsi:type="xsd:double"&gt;39.227283&lt;/D&gt;&lt;D xsi:type="xsd:double"&gt;27.94516&lt;/D&gt;&lt;D xsi:type="xsd:double"&gt;18.381357&lt;/D&gt;&lt;D xsi:type="xsd:double"&gt;35.82964&lt;/D&gt;&lt;D xsi:type="xsd:double"&gt;43.02094&lt;/D&gt;&lt;D xsi:type="xsd:double"&gt;46.143784&lt;/D&gt;&lt;D xsi:type="xsd:double"&gt;29.52335&lt;/D&gt;&lt;D xsi:type="xsd:double"&gt;38.105453&lt;/D&gt;&lt;D xsi:type="xsd:double"&gt;0.4279256&lt;/D&gt;&lt;D xsi:type="xsd:double"&gt;-5.3394375&lt;/D&gt;&lt;D xsi:type="xsd:double"&gt;-11.612171&lt;/D&gt;&lt;D xsi:type="xsd:double"&gt;-15.447044&lt;/D&gt;&lt;D xsi:type="xsd:double"&gt;-10.507655&lt;/D&gt;&lt;D xsi:type="xsd:double"&gt;-17.939478&lt;/D&gt;&lt;D xsi:type="xsd:double"&gt;-14.123529&lt;/D&gt;&lt;D xsi:type="xsd:double"&gt;-27.478153&lt;/D&gt;&lt;D xsi:type="xsd:double"&gt;-33.24603&lt;/D&gt;&lt;D xsi:type="xsd:double"&gt;-28.303326&lt;/D&gt;&lt;D xsi:type="xsd:double"&gt;-17.567152&lt;/D&gt;&lt;D xsi:type="xsd:double"&gt;-17.69564&lt;/D&gt;&lt;D xsi:type="xsd:double"&gt;-15.767455&lt;/D&gt;&lt;D xsi:type="xsd:double"&gt;2.6725292&lt;/D&gt;&lt;D xsi:type="xsd:double"&gt;4.894316&lt;/D&gt;&lt;D xsi:type="xsd:double"&gt;6.7764163&lt;/D&gt;&lt;D xsi:type="xsd:double"&gt;16.093695&lt;/D&gt;&lt;D xsi:type="xsd:double"&gt;32.328354&lt;/D&gt;&lt;D xsi:type="xsd:double"&gt;38.517654&lt;/D&gt;&lt;D xsi:type="xsd:double"&gt;45.077038&lt;/D&gt;&lt;D xsi:type="xsd:double"&gt;46.65221&lt;/D&gt;&lt;D xsi:type="xsd:double"&gt;24.516308&lt;/D&gt;&lt;D xsi:type="xsd:double"&gt;-35.66107&lt;/D&gt;&lt;D xsi:type="xsd:double"&gt;-27.63772&lt;/D&gt;&lt;D xsi:type="xsd:double"&gt;-23.379427&lt;/D&gt;&lt;D xsi:type="xsd:double"&gt;-26.382845&lt;/D&gt;&lt;D xsi:type="xsd:double"&gt;-27.655703&lt;/D&gt;&lt;D xsi:type="xsd:double"&gt;-18.828428&lt;/D&gt;&lt;D xsi:type="xsd:double"&gt;-23.312355&lt;/D&gt;&lt;D xsi:type="xsd:double"&gt;-31.994366&lt;/D&gt;&lt;D xsi:type="xsd:double"&gt;-24.583595&lt;/D&gt;&lt;D xsi:type="xsd:double"&gt;-11.643326&lt;/D&gt;&lt;D xsi:type="xsd:double"&gt;-13.543987&lt;/D&gt;&lt;D xsi:type="xsd:double"&gt;-10.235429&lt;/D&gt;&lt;D xsi:type="xsd:double"&gt;76.69752&lt;/D&gt;&lt;D xsi:type="xsd:double"&gt;53.440918&lt;/D&gt;&lt;D xsi:type="xsd:double"&gt;65.432594&lt;/D&gt;&lt;D xsi:type="xsd:double"&gt;44.968616&lt;/D&gt;&lt;D xsi:type="xsd:double"&gt;30.391848&lt;/D&gt;&lt;D xsi:type="xsd:double"&gt;33.227337&lt;/D&gt;&lt;D xsi:type="xsd:double"&gt;34.67759&lt;/D&gt;&lt;D xsi:type="xsd:double"&gt;50.031887&lt;/D&gt;&lt;D xsi:type="xsd:double"&gt;29.278683&lt;/D&gt;&lt;D xsi:type="xsd:double"&gt;4.606509&lt;/D&gt;&lt;D xsi:type="xsd:double"&gt;14.468527&lt;/D&gt;&lt;D xsi:type="xsd:double"&gt;22.588598&lt;/D&gt;&lt;D xsi:type="xsd:double"&gt;2.8493285&lt;/D&gt;&lt;D xsi:type="xsd:double"&gt;4.0207148&lt;/D&gt;&lt;D xsi:type="xsd:double"&gt;-9.460175&lt;/D&gt;&lt;D xsi:type="xsd:double"&gt;-15.847415&lt;/D&gt;&lt;D xsi:type="xsd:double"&gt;-9.175605&lt;/D&gt;&lt;D xsi:type="xsd:double"&gt;-6.873995&lt;/D&gt;&lt;D xsi:type="xsd:double"&gt;-15.361208&lt;/D&gt;&lt;D xsi:type="xsd:double"&gt;-16.498428&lt;/D&gt;&lt;D xsi:type="xsd:double"&gt;-6.657779&lt;/D&gt;&lt;D xsi:type="xsd:double"&gt;3.724742&lt;/D&gt;&lt;D xsi:type="xsd:double"&gt;3.2957435&lt;/D&gt;&lt;D xsi:type="xsd:double"&gt;12.9912615&lt;/D&gt;&lt;D xsi:type="xsd:double"&gt;12.45563&lt;/D&gt;&lt;D xsi:type="xsd:double"&gt;18.342758&lt;/D&gt;&lt;D xsi:type="xsd:double"&gt;30.626942&lt;/D&gt;&lt;D xsi:type="xsd:double"&gt;61.193993&lt;/D&gt;&lt;D xsi:type="xsd:double"&gt;78.63407&lt;/D&gt;&lt;D xsi:type="xsd:double"&gt;51.768208&lt;/D&gt;&lt;D xsi:type="xsd:double"&gt;50.58167&lt;/D&gt;&lt;D xsi:type="xsd:double"&gt;47.615124&lt;/D&gt;&lt;D xsi:type="xsd:double"&gt;49.234188&lt;/D&gt;&lt;D xsi:type="xsd:double"&gt;46.801804&lt;/D&gt;&lt;D xsi:type="xsd:double"&gt;38.62555&lt;/D&gt;&lt;D xsi:type="xsd:double"&gt;28.834248&lt;/D&gt;&lt;D xsi:type="xsd:double"&gt;42.102287&lt;/D&gt;&lt;D xsi:type="xsd:double"&gt;24.949337&lt;/D&gt;&lt;D xsi:type="xsd:double"&gt;36.0834&lt;/D&gt;&lt;D xsi:type="xsd:double"&gt;11.889315&lt;/D&gt;&lt;D xsi:type="xsd:double"&gt;9.543085&lt;/D&gt;&lt;/FQL&gt;&lt;FQL&gt;&lt;Q&gt;EWY^FG_TOTAL_RETURNC(-10AY,0,AM)&lt;/Q&gt;&lt;R&gt;121&lt;/R&gt;&lt;C&gt;1&lt;/C&gt;&lt;D xsi:type="xsd:double"&gt;0.35648346&lt;/D&gt;&lt;D xsi:type="xsd:double"&gt;3.1196833&lt;/D&gt;&lt;D xsi:type="xsd:double"&gt;-5.017221&lt;/D&gt;&lt;D xsi:type="xsd:double"&gt;-10.438347&lt;/D&gt;&lt;D xsi:type="xsd:double"&gt;-1.1619687&lt;/D&gt;&lt;D xsi:type="xsd:double"&gt;-0.33160448&lt;/D&gt;&lt;D xsi:type="xsd:double"&gt;1.7001271&lt;/D&gt;&lt;D xsi:type="xsd:double"&gt;-0.906986&lt;/D&gt;&lt;D xsi:type="xsd:double"&gt;2.674079&lt;/D&gt;&lt;D xsi:type="xsd:double"&gt;6.6596746&lt;/D&gt;&lt;D xsi:type="xsd:double"&gt;-2.3762703&lt;/D&gt;&lt;D xsi:type="xsd:double"&gt;-6.5133452&lt;/D&gt;&lt;D xsi:type="xsd:double"&gt;-4.9200892&lt;/D&gt;&lt;D xsi:type="xsd:double"&gt;-9.631735&lt;/D&gt;&lt;D xsi:type="xsd:double"&gt;4.4723153&lt;/D&gt;&lt;D xsi:type="xsd:double"&gt;8.021605&lt;/D&gt;&lt;D xsi:type="xsd:double"&gt;-2.0740747&lt;/D&gt;&lt;D xsi:type="xsd:double"&gt;-3.3850253&lt;/D&gt;&lt;D xsi:type="xsd:double"&gt;-6.243783&lt;/D&gt;&lt;D xsi:type="xsd:double"&gt;-0.34195185&lt;/D&gt;&lt;D xsi:type="xsd:double"&gt;11.816418&lt;/D&gt;&lt;D xsi:type="xsd:double"&gt;3.6056757&lt;/D&gt;&lt;D xsi:type="xsd:double"&gt;-9.55202&lt;/D&gt;&lt;D xsi:type="xsd:double"&gt;3.4793258&lt;/D&gt;&lt;D xsi:type="xsd:double"&gt;6.7049026&lt;/D&gt;&lt;D xsi:type="xsd:double"&gt;6.1167717&lt;/D&gt;&lt;D xsi:type="xsd:double"&gt;-2.6550233&lt;/D&gt;&lt;D xsi:type="xsd:double"&gt;2.3506165&lt;/D&gt;&lt;D xsi:type="xsd:double"&gt;-8.92356&lt;/D&gt;&lt;D xsi:type="xsd:double"&gt;4.446578&lt;/D&gt;&lt;D xsi:type="xsd:double"&gt;4.7537684&lt;/D&gt;&lt;D xsi:type="xsd:double"&gt;3.2229424&lt;/D&gt;&lt;D xsi:type="xsd:double"&gt;5.7271004&lt;/D&gt;&lt;D xsi:type="xsd:double"&gt;-3.1979084&lt;/D&gt;&lt;D xsi:type="xsd:double"&gt;12.540018&lt;/D&gt;&lt;D xsi:type="xsd:double"&gt;1.3479114&lt;/D&gt;&lt;D xsi:type="xsd:double"&gt;4.49239&lt;/D&gt;&lt;D xsi:type="xsd:double"&gt;-4.6103835&lt;/D&gt;&lt;D xsi:type="xsd:double"&gt;3.8843632&lt;/D&gt;&lt;D xsi:type="xsd:double"&gt;2.7971983&lt;/D&gt;&lt;D xsi:type="xsd:double"&gt;5.81702&lt;/D&gt;&lt;D xsi:type="xsd:double"&gt;-1.5662014&lt;/D&gt;&lt;D xsi:type="xsd:double"&gt;6.630063&lt;/D&gt;&lt;D xsi:type="xsd:double"&gt;-2.4974287&lt;/D&gt;&lt;D xsi:type="xsd:double"&gt;-1.1750698&lt;/D&gt;&lt;D xsi:type="xsd:double"&gt;0.7214427&lt;/D&gt;&lt;D xsi:type="xsd:double"&gt;-3.1834483&lt;/D&gt;&lt;D xsi:type="xsd:double"&gt;-7.0146503&lt;/D&gt;&lt;D xsi:type="xsd:double"&gt;-3.8455904&lt;/D&gt;&lt;D xsi:type="xsd:double"&gt;-0.9653747&lt;/D&gt;&lt;D xsi:type="xsd:double"&gt;3.048122&lt;/D&gt;&lt;D xsi:type="xsd:double"&gt;-7.7177167&lt;/D&gt;&lt;D xsi:type="xsd:double"&gt;-2.4568796&lt;/D&gt;&lt;D xsi:type="xsd:double"&gt;-2.3839056&lt;/D&gt;&lt;D xsi:type="xsd:double"&gt;6.425357&lt;/D&gt;&lt;D xsi:type="xsd:double"&gt;3.580153&lt;/D&gt;&lt;D xsi:type="xsd:double"&gt;-2.5137484&lt;/D&gt;&lt;D xsi:type="xsd:double"&gt;1.9983888&lt;/D&gt;&lt;D xsi:type="xsd:double"&gt;-12.671828&lt;/D&gt;&lt;D xsi:type="xsd:double"&gt;6.2059045&lt;/D&gt;&lt;D xsi:type="xsd:double"&gt;-1.6695023&lt;/D&gt;&lt;D xsi:type="xsd:double"&gt;-9.702015&lt;/D&gt;&lt;D xsi:type="xsd:double"&gt;9.113586&lt;/D&gt;&lt;D xsi:type="xsd:double"&gt;1.2660503&lt;/D&gt;&lt;D xsi:type="xsd:double"&gt;5.452335&lt;/D&gt;&lt;D xsi:type="xsd:double"&gt;3.5140514&lt;/D&gt;&lt;D xsi:type="xsd:double"&gt;4.079318&lt;/D&gt;&lt;D xsi:type="xsd:double"&gt;-4.63773&lt;/D&gt;&lt;D xsi:type="xsd:double"&gt;-36.138855&lt;/D&gt;&lt;D xsi:type="xsd:double"&gt;30.17949&lt;/D&gt;&lt;D xsi:type="xsd:double"&gt;2.3242116&lt;/D&gt;&lt;D xsi:type="xsd:double"&gt;9.23965&lt;/D&gt;&lt;D xsi:type="xsd:double"&gt;4.740083&lt;/D&gt;&lt;D xsi:type="xsd:double"&gt;8.243608&lt;/D&gt;&lt;D xsi:type="xsd:double"&gt;2.6422262&lt;/D&gt;&lt;D xsi:type="xsd:double"&gt;0.62083006&lt;/D&gt;&lt;D xsi:type="xsd:double"&gt;12.26486&lt;/D&gt;&lt;D xsi:type="xsd:double"&gt;9.717512&lt;/D&gt;&lt;D xsi:type="xsd:double"&gt;14.048254&lt;/D&gt;&lt;D xsi:type="xsd:double"&gt;0.5073905&lt;/D&gt;&lt;D xsi:type="xsd:double"&gt;-4.5327606&lt;/D&gt;&lt;D xsi:type="xsd:double"&gt;5.085516&lt;/D&gt;&lt;D xsi:type="xsd:double"&gt;-3.5546064&lt;/D&gt;&lt;D xsi:type="xsd:double"&gt;1.1323214&lt;/D&gt;&lt;D xsi:type="xsd:double"&gt;-2.7332604&lt;/D&gt;&lt;D xsi:type="xsd:double"&gt;-6.3311157&lt;/D&gt;&lt;D xsi:type="xsd:double"&gt;0.09639263&lt;/D&gt;&lt;D xsi:type="xsd:double"&gt;-2.38325&lt;/D&gt;&lt;D xsi:type="xsd:double"&gt;-3.2922268&lt;/D&gt;&lt;D xsi:type="xsd:double"&gt;2.3334622&lt;/D&gt;&lt;D xsi:type="xsd:double"&gt;-3.4873307&lt;/D&gt;&lt;D xsi:type="xsd:double"&gt;-3.7584066&lt;/D&gt;&lt;D xsi:type="xsd:double"&gt;-2.0279586&lt;/D&gt;&lt;D xsi:type="xsd:double"&gt;-3.258741&lt;/D&gt;&lt;D xsi:type="xsd:double"&gt;-5.3491354&lt;/D&gt;&lt;D xsi:type="xsd:double"&gt;-8.813196&lt;/D&gt;&lt;D xsi:type="xsd:double"&gt;-1.6917944&lt;/D&gt;&lt;D xsi:type="xsd:double"&gt;0.39188862&lt;/D&gt;&lt;D xsi:type="xsd:double"&gt;-7.8241644&lt;/D&gt;&lt;D xsi:type="xsd:double"&gt;-8.764505&lt;/D&gt;&lt;D xsi:type="xsd:double"&gt;17.154396&lt;/D&gt;&lt;D xsi:type="xsd:double"&gt;-1.2433112&lt;/D&gt;&lt;D xsi:type="xsd:double"&gt;9.744036&lt;/D&gt;&lt;D xsi:type="xsd:double"&gt;-2.0588696&lt;/D&gt;&lt;D xsi:type="xsd:double"&gt;-4.204297&lt;/D&gt;&lt;D xsi:type="xsd:double"&gt;6.908965&lt;/D&gt;&lt;D xsi:type="xsd:double"&gt;-0.49711466&lt;/D&gt;&lt;D xsi:type="xsd:double"&gt;7.1394086&lt;/D&gt;&lt;D xsi:type="xsd:double"&gt;0.96269846&lt;/D&gt;&lt;D xsi:type="xsd:double"&gt;-9.609663&lt;/D&gt;&lt;D xsi:type="xsd:double"&gt;3.1481862&lt;/D&gt;&lt;D xsi:type="xsd:double"&gt;-7.782042&lt;/D&gt;&lt;D xsi:type="xsd:double"&gt;7.866919&lt;/D&gt;&lt;D xsi:type="xsd:double"&gt;4.2730927&lt;/D&gt;&lt;D xsi:type="xsd:double"&gt;-6.316364&lt;/D&gt;&lt;D xsi:type="xsd:double"&gt;8.319283&lt;/D&gt;&lt;D xsi:type="xsd:double"&gt;1.6980767&lt;/D&gt;&lt;D xsi:type="xsd:double"&gt;-6.0661736&lt;/D&gt;&lt;D xsi:type="xsd:double"&gt;6.751466&lt;/D&gt;&lt;D xsi:type="xsd:double"&gt;0.25969744&lt;/D&gt;&lt;D xsi:type="xsd:double"&gt;-0.6094694&lt;/D&gt;&lt;/FQL&gt;&lt;FQL&gt;&lt;Q&gt;EWZ^FMA_PE(LTMA,-10AY,0,AM,"PORTAGG","MEANR")&lt;/Q&gt;&lt;R&gt;121&lt;/R&gt;&lt;C&gt;1&lt;/C&gt;&lt;D xsi:type="xsd:double"&gt;12.1383088867735&lt;/D&gt;&lt;D xsi:type="xsd:double"&gt;12.6312429501932&lt;/D&gt;&lt;D xsi:type="xsd:double"&gt;12.6282516153127&lt;/D&gt;&lt;D xsi:type="xsd:double"&gt;12.6410730960707&lt;/D&gt;&lt;D xsi:type="xsd:double"&gt;12.5736410860432&lt;/D&gt;&lt;D xsi:type="xsd:double"&gt;12.2223398167675&lt;/D&gt;&lt;D xsi:type="xsd:double"&gt;12.2648396801936&lt;/D&gt;&lt;D xsi:type="xsd:double"&gt;12.7821466116394&lt;/D&gt;&lt;D xsi:type="xsd:double"&gt;12.9918405810878&lt;/D&gt;&lt;D xsi:type="xsd:double"&gt;13.4619768717145&lt;/D&gt;&lt;D xsi:type="xsd:double"&gt;13.8210547894228&lt;/D&gt;&lt;D xsi:type="xsd:double"&gt;13.9187731811782&lt;/D&gt;&lt;D xsi:type="xsd:double"&gt;13.6985239666323&lt;/D&gt;&lt;D xsi:type="xsd:double"&gt;12.7091958433218&lt;/D&gt;&lt;D xsi:type="xsd:double"&gt;12.6635393711753&lt;/D&gt;&lt;D xsi:type="xsd:double"&gt;12.5276844380104&lt;/D&gt;&lt;D xsi:type="xsd:double"&gt;12.9911601334629&lt;/D&gt;&lt;D xsi:type="xsd:double"&gt;12.1350269194582&lt;/D&gt;&lt;D xsi:type="xsd:double"&gt;10.8942902104208&lt;/D&gt;&lt;D xsi:type="xsd:double"&gt;11.8530384494076&lt;/D&gt;&lt;D xsi:type="xsd:double"&gt;13.0582819981264&lt;/D&gt;&lt;D xsi:type="xsd:double"&gt;13.3861292425839&lt;/D&gt;&lt;D xsi:type="xsd:double"&gt;12.9892263199398&lt;/D&gt;&lt;D xsi:type="xsd:double"&gt;12.9623721590183&lt;/D&gt;&lt;D xsi:type="xsd:double"&gt;13.9855248174465&lt;/D&gt;&lt;D xsi:type="xsd:double"&gt;14.5738648724551&lt;/D&gt;&lt;D xsi:type="xsd:double"&gt;14.2567490974029&lt;/D&gt;&lt;D xsi:type="xsd:double"&gt;15.3956380091377&lt;/D&gt;&lt;D xsi:type="xsd:double"&gt;14.8497843514008&lt;/D&gt;&lt;D xsi:type="xsd:double"&gt;14.0860872855223&lt;/D&gt;&lt;D xsi:type="xsd:double"&gt;15.2807750919226&lt;/D&gt;&lt;D xsi:type="xsd:double"&gt;16.8915367238117&lt;/D&gt;&lt;D xsi:type="xsd:double"&gt;16.5512557998797&lt;/D&gt;&lt;D xsi:type="xsd:double"&gt;16.0894795473062&lt;/D&gt;&lt;D xsi:type="xsd:double"&gt;15.662066496478&lt;/D&gt;&lt;D xsi:type="xsd:double"&gt;15.1382071410758&lt;/D&gt;&lt;D xsi:type="xsd:double"&gt;15.0376636090229&lt;/D&gt;&lt;D xsi:type="xsd:double"&gt;15.3019641301473&lt;/D&gt;&lt;D xsi:type="xsd:double"&gt;15.853491246833&lt;/D&gt;&lt;D xsi:type="xsd:double"&gt;15.608637103516&lt;/D&gt;&lt;D xsi:type="xsd:double"&gt;14.7007643154641&lt;/D&gt;&lt;D xsi:type="xsd:double"&gt;14.4345725777968&lt;/D&gt;&lt;D xsi:type="xsd:double"&gt;15.6898453815019&lt;/D&gt;&lt;D xsi:type="xsd:double"&gt;16.1442161002291&lt;/D&gt;&lt;D xsi:type="xsd:double"&gt;16.3013517203627&lt;/D&gt;&lt;D xsi:type="xsd:double"&gt;16.0179114141636&lt;/D&gt;&lt;D xsi:type="xsd:double"&gt;15.451328887682&lt;/D&gt;&lt;D xsi:type="xsd:double"&gt;14.3686626777831&lt;/D&gt;&lt;D xsi:type="xsd:double"&gt;14.2838045748449&lt;/D&gt;&lt;D xsi:type="xsd:double"&gt;13.7382497780732&lt;/D&gt;&lt;D xsi:type="xsd:double"&gt;13.2727048344773&lt;/D&gt;&lt;D xsi:type="xsd:double"&gt;13.713619344295&lt;/D&gt;&lt;D xsi:type="xsd:double"&gt;13.8432428871453&lt;/D&gt;&lt;D xsi:type="xsd:double"&gt;13.435190397109&lt;/D&gt;&lt;D xsi:type="xsd:double"&gt;14.9022950850591&lt;/D&gt;&lt;D xsi:type="xsd:double"&gt;15.2012940888059&lt;/D&gt;&lt;D xsi:type="xsd:double"&gt;14.7125592275175&lt;/D&gt;&lt;D xsi:type="xsd:double"&gt;14.193909453028&lt;/D&gt;&lt;D xsi:type="xsd:double"&gt;13.8697883572829&lt;/D&gt;&lt;D xsi:type="xsd:double"&gt;14.3262498515546&lt;/D&gt;&lt;D xsi:type="xsd:double"&gt;14.3026369599852&lt;/D&gt;&lt;D xsi:type="xsd:double"&gt;14.1248056329686&lt;/D&gt;&lt;D xsi:type="xsd:double"&gt;14.1679355252107&lt;/D&gt;&lt;D xsi:type="xsd:double"&gt;14.7412850772171&lt;/D&gt;&lt;D xsi:type="xsd:double"&gt;15.153381578033&lt;/D&gt;&lt;D xsi:type="xsd:double"&gt;17.0500804320684&lt;/D&gt;&lt;D xsi:type="xsd:double"&gt;17.3660224944153&lt;/D&gt;&lt;D xsi:type="xsd:double"&gt;17.0027666216629&lt;/D&gt;&lt;D xsi:type="xsd:double"&gt;16.112047118541&lt;/D&gt;&lt;D xsi:type="xsd:double"&gt;16.4793036734193&lt;/D&gt;&lt;D xsi:type="xsd:double"&gt;17.9836020333511&lt;/D&gt;&lt;D xsi:type="xsd:double"&gt;20.3052758185498&lt;/D&gt;&lt;D xsi:type="xsd:double"&gt;31.5774432276564&lt;/D&gt;&lt;D xsi:type="xsd:double"&gt;35.4401377598005&lt;/D&gt;&lt;D xsi:type="xsd:double"&gt;31.4905045802767&lt;/D&gt;&lt;D xsi:type="xsd:double"&gt;30.9531819745704&lt;/D&gt;&lt;D xsi:type="xsd:double"&gt;31.1797134888437&lt;/D&gt;&lt;D xsi:type="xsd:double"&gt;35.6490784489291&lt;/D&gt;&lt;D xsi:type="xsd:double"&gt;31.2525945746229&lt;/D&gt;&lt;D xsi:type="xsd:double"&gt;27.2812269684843&lt;/D&gt;&lt;D xsi:type="xsd:double"&gt;20.0446275444801&lt;/D&gt;&lt;D xsi:type="xsd:double"&gt;18.7320731750118&lt;/D&gt;&lt;D xsi:type="xsd:double"&gt;17.5825104557321&lt;/D&gt;&lt;D xsi:type="xsd:double"&gt;16.5802278716368&lt;/D&gt;&lt;D xsi:type="xsd:double"&gt;14.9447615231495&lt;/D&gt;&lt;D xsi:type="xsd:double"&gt;13.1295144386427&lt;/D&gt;&lt;D xsi:type="xsd:double"&gt;11.5935479111132&lt;/D&gt;&lt;D xsi:type="xsd:double"&gt;10.1272949377039&lt;/D&gt;&lt;D xsi:type="xsd:double"&gt;8.25219115286026&lt;/D&gt;&lt;D xsi:type="xsd:double"&gt;7.25498359524435&lt;/D&gt;&lt;D xsi:type="xsd:double"&gt;6.78696581824808&lt;/D&gt;&lt;D xsi:type="xsd:double"&gt;7.06394811557641&lt;/D&gt;&lt;D xsi:type="xsd:double"&gt;7.04120152885941&lt;/D&gt;&lt;D xsi:type="xsd:double"&gt;6.94291622983807&lt;/D&gt;&lt;D xsi:type="xsd:double"&gt;6.58523888677301&lt;/D&gt;&lt;D xsi:type="xsd:double"&gt;6.33388989327467&lt;/D&gt;&lt;D xsi:type="xsd:double"&gt;6.18771196988481&lt;/D&gt;&lt;D xsi:type="xsd:double"&gt;6.2202605671895&lt;/D&gt;&lt;D xsi:type="xsd:double"&gt;6.11621431918988&lt;/D&gt;&lt;D xsi:type="xsd:double"&gt;6.36500643943114&lt;/D&gt;&lt;D xsi:type="xsd:double"&gt;5.92866871933421&lt;/D&gt;&lt;D xsi:type="xsd:double"&gt;5.46412756243669&lt;/D&gt;&lt;D xsi:type="xsd:double"&gt;5.87884933228842&lt;/D&gt;&lt;D xsi:type="xsd:double"&gt;5.75298631045867&lt;/D&gt;&lt;D xsi:type="xsd:double"&gt;5.53836216550096&lt;/D&gt;&lt;D xsi:type="xsd:double"&gt;5.73272581590491&lt;/D&gt;&lt;D xsi:type="xsd:double"&gt;6.01084655994868&lt;/D&gt;&lt;D xsi:type="xsd:double"&gt;6.55960136717913&lt;/D&gt;&lt;D xsi:type="xsd:double"&gt;6.9009377796708&lt;/D&gt;&lt;D xsi:type="xsd:double"&gt;7.02052493637646&lt;/D&gt;&lt;D xsi:type="xsd:double"&gt;7.30249627474674&lt;/D&gt;&lt;D xsi:type="xsd:double"&gt;7.31331770337237&lt;/D&gt;&lt;D xsi:type="xsd:double"&gt;7.98451702982939&lt;/D&gt;&lt;D xsi:type="xsd:double"&gt;8.53489049785897&lt;/D&gt;&lt;D xsi:type="xsd:double"&gt;8.19440370240257&lt;/D&gt;&lt;D xsi:type="xsd:double"&gt;8.32115132924003&lt;/D&gt;&lt;D xsi:type="xsd:double"&gt;8.40449505899196&lt;/D&gt;&lt;D xsi:type="xsd:double"&gt;8.2886899325094&lt;/D&gt;&lt;D xsi:type="xsd:double"&gt;8.22151710156899&lt;/D&gt;&lt;D xsi:type="xsd:double"&gt;7.87605747100616&lt;/D&gt;&lt;D xsi:type="xsd:double"&gt;8.10775919366641&lt;/D&gt;&lt;/FQL&gt;&lt;FQL&gt;&lt;Q&gt;NI-FDS^FG_PRICE_CHANGE(0,-6AM)&lt;/Q&gt;&lt;R&gt;1&lt;/R&gt;&lt;C&gt;1&lt;/C&gt;&lt;D xsi:type="xsd:double"&gt;1.06683401317853&lt;/D&gt;&lt;/FQL&gt;&lt;FQL&gt;&lt;Q&gt;CPALM-FDS^FG_PRICE_MAVG(0,,,,30)&lt;/Q&gt;&lt;R&gt;1&lt;/R&gt;&lt;C&gt;1&lt;/C&gt;&lt;D xsi:type="xsd:double"&gt;3984.0667&lt;/D&gt;&lt;/FQL&gt;&lt;FQL&gt;&lt;Q&gt;EWZ^FG_PRICE_MAVG(0,,,,200)&lt;/Q&gt;&lt;R&gt;1&lt;/R&gt;&lt;C&gt;1&lt;/C&gt;&lt;D xsi:type="xsd:double"&gt;31.6912&lt;/D&gt;&lt;/FQL&gt;&lt;FQL&gt;&lt;Q&gt;EPU^FG_PRICE_MAVG(0,,,,200)&lt;/Q&gt;&lt;R&gt;1&lt;/R&gt;&lt;C&gt;1&lt;/C&gt;&lt;D xsi:type="xsd:double"&gt;36.158085&lt;/D&gt;&lt;/FQL&gt;&lt;FQL&gt;&lt;Q&gt;TUR^FMA_PCT_ABOVE_MAVG(200,0,,,,"PORTAGG")&lt;/Q&gt;&lt;R&gt;1&lt;/R&gt;&lt;C&gt;1&lt;/C&gt;&lt;D xsi:type="xsd:double"&gt;70.5263157894737&lt;/D&gt;&lt;/FQL&gt;&lt;FQL&gt;&lt;Q&gt;MCHI^FG_TOTAL_RETURNC(0,-12AM)&lt;/Q&gt;&lt;R&gt;1&lt;/R&gt;&lt;C&gt;1&lt;/C&gt;&lt;D xsi:type="xsd:double"&gt;-5.102915&lt;/D&gt;&lt;/FQL&gt;&lt;FQL&gt;&lt;Q&gt;EWW^FG_TOTAL_RETURNC(0,-1AM)&lt;/Q&gt;&lt;R&gt;1&lt;/R&gt;&lt;C&gt;1&lt;/C&gt;&lt;D xsi:type="xsd:double"&gt;3.1695724&lt;/D&gt;&lt;/FQL&gt;&lt;FQL&gt;&lt;Q&gt;EWM^PERCENT_CHANGE(FMA_EPS(+1,0,,,,"PORTAGG","MEAN"),FMA_EPS(+1,-3AM,,,,"PORTAGG","MEAN"))&lt;/Q&gt;&lt;R&gt;1&lt;/R&gt;&lt;C&gt;1&lt;/C&gt;&lt;D xsi:type="xsd:double"&gt;2.21310694096505&lt;/D&gt;&lt;/FQL&gt;&lt;FQL&gt;&lt;Q&gt;EPOL^PERCENT_CHANGE(FMA_EPS(+1,0,,,,"PORTAGG","MEAN"),FMA_EPS(+1,-1AM,,,,"PORTAGG","MEAN"))&lt;/Q&gt;&lt;R&gt;1&lt;/R&gt;&lt;C&gt;1&lt;/C&gt;&lt;D xsi:type="xsd:double"&gt;3.45142256911886&lt;/D&gt;&lt;/FQL&gt;&lt;FQL&gt;&lt;Q&gt;ECH^FG_TOTAL_RETURNC(0,-12AM)&lt;/Q&gt;&lt;R&gt;1&lt;/R&gt;&lt;C&gt;1&lt;/C&gt;&lt;D xsi:type="xsd:double"&gt;-15.253234&lt;/D&gt;&lt;/FQL&gt;&lt;FQL&gt;&lt;Q&gt;SPY^P_PRICE(0)/P_PRICE_LOW_PR(0,,,,,,"PRICE","INTRA","52W")-1&lt;/Q&gt;&lt;R&gt;1&lt;/R&gt;&lt;C&gt;1&lt;/C&gt;&lt;D xsi:type="xsd:double"&gt;0.34158504&lt;/D&gt;&lt;/FQL&gt;&lt;FQL&gt;&lt;Q&gt;VGK^FG_TOTAL_RETURNC(0,-6AM)&lt;/Q&gt;&lt;R&gt;1&lt;/R&gt;&lt;C&gt;1&lt;/C&gt;&lt;D xsi:type="xsd:double"&gt;10.566032&lt;/D&gt;&lt;/FQL&gt;&lt;FQL&gt;&lt;Q&gt;SPY^FMA_COS_DOWN("EPS","1M",+1,NOW,,,"PORTAGG","MEANR")&lt;/Q&gt;&lt;R&gt;1&lt;/R&gt;&lt;C&gt;1&lt;/C&gt;&lt;D xsi:type="xsd:double"&gt;204&lt;/D&gt;&lt;/FQL&gt;&lt;FQL&gt;&lt;Q&gt;CNYA^SIZE(FG_CONSTITUENTS)&lt;/Q&gt;&lt;R&gt;1&lt;/R&gt;&lt;C&gt;1&lt;/C&gt;&lt;D xsi:type="xsd:long"&gt;485&lt;/D&gt;&lt;/FQL&gt;&lt;FQL&gt;&lt;Q&gt;EPU^FMA_RBICS_REV_CURRENT(30, LOC, "PORTAGG")&lt;/Q&gt;&lt;R&gt;1&lt;/R&gt;&lt;C&gt;1&lt;/C&gt;&lt;D xsi:type="xsd:double"&gt;30.8413445335127&lt;/D&gt;&lt;/FQL&gt;&lt;FQL&gt;&lt;Q&gt;EWY^FG_ROE(0)&lt;/Q&gt;&lt;R&gt;1&lt;/R&gt;&lt;C&gt;1&lt;/C&gt;&lt;D xsi:type="xsd:double"&gt;6.25227622022449&lt;/D&gt;&lt;/FQL&gt;&lt;FQL&gt;&lt;Q&gt;TRYIN10Y-FDS^FG_YIELD_NAME&lt;/Q&gt;&lt;R&gt;1&lt;/R&gt;&lt;C&gt;1&lt;/C&gt;&lt;D xsi:type="xsd:string"&gt;India Benchmark Bond - 10 Year&lt;/D&gt;&lt;/FQL&gt;&lt;FQL&gt;&lt;Q&gt;REFVNDISC-FDS^(SUBARRAY(NOT_NA(NO_REPEAT_F(FG_YIELD(NOW,-10AY,D))),0,1)-SUBARRAY(NOT_NA(NO_REPEAT_F(FG_YIELD(NOW,-10AY,D))),1,1))*100&lt;/Q&gt;&lt;R&gt;1&lt;/R&gt;&lt;C&gt;1&lt;/C&gt;&lt;D xsi:type="xsd:double"&gt;-50&lt;/D&gt;&lt;/FQL&gt;&lt;FQL&gt;&lt;Q&gt;REFMXTON-FDS^FG_YIELD(NOW,,,0)&lt;/Q&gt;&lt;R&gt;1&lt;/R&gt;&lt;C&gt;1&lt;/C&gt;&lt;D xsi:type="xsd:double"&gt;11&lt;/D&gt;&lt;/FQL&gt;&lt;FQL&gt;&lt;Q&gt;REFIDRREPO-FDS^(SUBARRAY(NOT_NA(NO_REPEAT_F(FG_YIELD(NOW,-10AY,D))),0,1)-SUBARRAY(NOT_NA(NO_REPEAT_F(FG_YIELD(NOW,-10AY,D))),1,1))*100&lt;/Q&gt;&lt;R&gt;1&lt;/R&gt;&lt;C&gt;1&lt;/C&gt;&lt;D xsi:type="xsd:double"&gt;25&lt;/D&gt;&lt;/FQL&gt;&lt;FQL&gt;&lt;Q&gt;TRYTH10Y-FDS^PCTCHG(FG_YIELD(0,,,,"YTM"),FG_YIELD(-3AM,,,,"YTM"))&lt;/Q&gt;&lt;R&gt;1&lt;/R&gt;&lt;C&gt;1&lt;/C&gt;&lt;D xsi:type="xsd:double"&gt;-4.2192974&lt;/D&gt;&lt;/FQL&gt;&lt;FQL&gt;&lt;Q&gt;TRYMX10Y-FDS^PCTCHG(FG_YIELD(0,,,,"YTM"),FG_YIELD(-1AM,,,,"YTM"))&lt;/Q&gt;&lt;R&gt;1&lt;/R&gt;&lt;C&gt;1&lt;/C&gt;&lt;D xsi:type="xsd:double"&gt;-0.45945346&lt;/D&gt;&lt;/FQL&gt;&lt;FQL&gt;&lt;Q&gt;TRYUS10Y-FDS^FG_YIELD(0,,,,"YTM")&lt;/Q&gt;&lt;R&gt;1&lt;/R&gt;&lt;C&gt;1&lt;/C&gt;&lt;D xsi:type="xsd:double"&gt;4.2379&lt;/D&gt;&lt;/FQL&gt;&lt;FQL&gt;&lt;Q&gt;CC_GR^IMF_IFS_RCPI_Q(0)&lt;/Q&gt;&lt;R&gt;1&lt;/R&gt;&lt;C&gt;1&lt;/C&gt;&lt;D xsi:type="xsd:double"&gt;2.571976&lt;/D&gt;&lt;/FQL&gt;&lt;FQL&gt;&lt;Q&gt;EWT^FMA_EVAL_EBITDA(NTMA,0,,,"PORTAGG","MEANR")&lt;/Q&gt;&lt;R&gt;1&lt;/R&gt;&lt;C&gt;1&lt;/C&gt;&lt;D xsi:type="xsd:double"&gt;10.716584528358&lt;/D&gt;&lt;/FQL&gt;&lt;FQL&gt;&lt;Q&gt;EPU^FMA_PE(NTMA,0,,,"PORTAGG","MEANR")&lt;/Q&gt;&lt;R&gt;1&lt;/R&gt;&lt;C&gt;1&lt;/C&gt;&lt;D xsi:type="xsd:double"&gt;11.5339685123526&lt;/D&gt;&lt;/FQL&gt;&lt;FQL&gt;&lt;Q&gt;EIDO^FMA_EVAL_EBIT(LTMA,NOW,NOW,M,"PORTAGG","MEANR")&lt;/Q&gt;&lt;R&gt;1&lt;/R&gt;&lt;C&gt;1&lt;/C&gt;&lt;D xsi:type="xsd:double"&gt;9.32631576919699&lt;/D&gt;&lt;/FQL&gt;&lt;FQL&gt;&lt;Q&gt;EWY^FG_COMPANY_NAME&lt;/Q&gt;&lt;R&gt;1&lt;/R&gt;&lt;C&gt;1&lt;/C&gt;&lt;D xsi:type="xsd:string"&gt;iShares MSCI South Korea ETF&lt;/D&gt;&lt;/FQL&gt;&lt;FQL&gt;&lt;Q&gt;VWO^FG_PE(0)&lt;/Q&gt;&lt;R&gt;1&lt;/R&gt;&lt;C&gt;1&lt;/C&gt;&lt;D xsi:type="xsd:double"&gt;14.4640537694995&lt;/D&gt;&lt;/FQL&gt;&lt;FQL&gt;&lt;Q&gt;TUR^FMA_PE(NTMA,0,,,"PORTAGG","MEANR")&lt;/Q&gt;&lt;R&gt;1&lt;/R&gt;&lt;C&gt;1&lt;/C&gt;&lt;D xsi:type="xsd:double"&gt;6.38842321139958&lt;/D&gt;&lt;/FQL&gt;&lt;FQL&gt;&lt;Q&gt;MCHI^FMA_EVAL_EBIT(LTMA,NOW,NOW,M,"PORTAGG","MEANR")&lt;/Q&gt;&lt;R&gt;1&lt;/R&gt;&lt;C&gt;1&lt;/C&gt;&lt;D xsi:type="xsd:double"&gt;13.217911740795&lt;/D&gt;&lt;/FQL&gt;&lt;FQL&gt;&lt;Q&gt;EPU^FMA_PE(LTM,0,,,"PORTAGG","MEANR")&lt;/Q&gt;&lt;R&gt;1&lt;/R&gt;&lt;C&gt;1&lt;/C&gt;&lt;D xsi:type="xsd:double"&gt;17.8648816057921&lt;/D&gt;&lt;/FQL&gt;&lt;FQL&gt;&lt;Q&gt;EWW^PERCENT_CHANGE(FMA_EPS(+1,0,,,,"PORTAGG","MEAN"),FMA_EPS(+1,-1AM,,,,"PORTAGG","MEAN"))&lt;/Q&gt;&lt;R&gt;1&lt;/R&gt;&lt;C&gt;1&lt;/C&gt;&lt;D xsi:type="xsd:double"&gt;4.43576720216843&lt;/D&gt;&lt;/FQL&gt;&lt;FQL&gt;&lt;Q&gt;EPU^SIZE(FG_CONSTITUENTS)&lt;/Q&gt;&lt;R&gt;1&lt;/R&gt;&lt;C&gt;1&lt;/C&gt;&lt;D xsi:type="xsd:long"&gt;26&lt;/D&gt;&lt;/FQL&gt;&lt;FQL&gt;&lt;Q&gt;TRYVN10Y-FDS^FG_YIELD(0,,,,"YTM")&lt;/Q&gt;&lt;R&gt;1&lt;/R&gt;&lt;C&gt;1&lt;/C&gt;&lt;D xsi:type="xsd:double"&gt;2.7215104&lt;/D&gt;&lt;/FQL&gt;&lt;FQL&gt;&lt;Q&gt;USDKRW^STD(FG_PRICE_CHANGE(0,-1AY,AM))&lt;/Q&gt;&lt;R&gt;1&lt;/R&gt;&lt;C&gt;1&lt;/C&gt;&lt;D xsi:type="xsd:double"&gt;2.56665283931548&lt;/D&gt;&lt;/FQL&gt;&lt;FQL&gt;&lt;Q&gt;USDMYR^FG_COMPANY_NAME&lt;/Q&gt;&lt;R&gt;1&lt;/R&gt;&lt;C&gt;1&lt;/C&gt;&lt;D xsi:type="xsd:string"&gt;Malaysian Ringgit per U.S. Dollar&lt;/D&gt;&lt;/FQL&gt;&lt;FQL&gt;&lt;Q&gt;EZA^P_PRICE_RETURNS_PR('52W',2,-10AY,0,AM)&lt;/Q&gt;&lt;R&gt;121&lt;/R&gt;&lt;C&gt;1&lt;/C&gt;&lt;D xsi:type="xsd:double"&gt;21.188545&lt;/D&gt;&lt;D xsi:type="xsd:double"&gt;23.494398&lt;/D&gt;&lt;D xsi:type="xsd:double"&gt;4.3397903&lt;/D&gt;&lt;D xsi:type="xsd:double"&gt;-2.5298178&lt;/D&gt;&lt;D xsi:type="xsd:double"&gt;11.977636&lt;/D&gt;&lt;D xsi:type="xsd:double"&gt;7.786894&lt;/D&gt;&lt;D xsi:type="xsd:double"&gt;8.842289&lt;/D&gt;&lt;D xsi:type="xsd:double"&gt;16.973007&lt;/D&gt;&lt;D xsi:type="xsd:double"&gt;7.7056766&lt;/D&gt;&lt;D xsi:type="xsd:double"&gt;6.3197374&lt;/D&gt;&lt;D xsi:type="xsd:double"&gt;1.4494061&lt;/D&gt;&lt;D xsi:type="xsd:double"&gt;-5.3295193&lt;/D&gt;&lt;D xsi:type="xsd:double"&gt;-3.0081391&lt;/D&gt;&lt;D xsi:type="xsd:double"&gt;-15.904456&lt;/D&gt;&lt;D xsi:type="xsd:double"&gt;-16.128899&lt;/D&gt;&lt;D xsi:type="xsd:double"&gt;-4.617566&lt;/D&gt;&lt;D xsi:type="xsd:double"&gt;-17.889881&lt;/D&gt;&lt;D xsi:type="xsd:double"&gt;-26.207859&lt;/D&gt;&lt;D xsi:type="xsd:double"&gt;-37.563114&lt;/D&gt;&lt;D xsi:type="xsd:double"&gt;-30.944473&lt;/D&gt;&lt;D xsi:type="xsd:double"&gt;-20.708067&lt;/D&gt;&lt;D xsi:type="xsd:double"&gt;-17.67609&lt;/D&gt;&lt;D xsi:type="xsd:double"&gt;-29.331547&lt;/D&gt;&lt;D xsi:type="xsd:double"&gt;-17.427534&lt;/D&gt;&lt;D xsi:type="xsd:double"&gt;-11.06826&lt;/D&gt;&lt;D xsi:type="xsd:double"&gt;7.2417736&lt;/D&gt;&lt;D xsi:type="xsd:double"&gt;3.0393481&lt;/D&gt;&lt;D xsi:type="xsd:double"&gt;-4.2808&lt;/D&gt;&lt;D xsi:type="xsd:double"&gt;-4.36967&lt;/D&gt;&lt;D xsi:type="xsd:double"&gt;11.258661&lt;/D&gt;&lt;D xsi:type="xsd:double"&gt;43.304443&lt;/D&gt;&lt;D xsi:type="xsd:double"&gt;24.725903&lt;/D&gt;&lt;D xsi:type="xsd:double"&gt;20.08196&lt;/D&gt;&lt;D xsi:type="xsd:double"&gt;5.730176&lt;/D&gt;&lt;D xsi:type="xsd:double"&gt;30.854427&lt;/D&gt;&lt;D xsi:type="xsd:double"&gt;17.554401&lt;/D&gt;&lt;D xsi:type="xsd:double"&gt;11.848295&lt;/D&gt;&lt;D xsi:type="xsd:double"&gt;2.8696656&lt;/D&gt;&lt;D xsi:type="xsd:double"&gt;10.98125&lt;/D&gt;&lt;D xsi:type="xsd:double"&gt;14.724504&lt;/D&gt;&lt;D xsi:type="xsd:double"&gt;26.452303&lt;/D&gt;&lt;D xsi:type="xsd:double"&gt;34.323906&lt;/D&gt;&lt;D xsi:type="xsd:double"&gt;34.137474&lt;/D&gt;&lt;D xsi:type="xsd:double"&gt;33.2062&lt;/D&gt;&lt;D xsi:type="xsd:double"&gt;20.10299&lt;/D&gt;&lt;D xsi:type="xsd:double"&gt;23.881256&lt;/D&gt;&lt;D xsi:type="xsd:double"&gt;9.725534&lt;/D&gt;&lt;D xsi:type="xsd:double"&gt;-0.72624683&lt;/D&gt;&lt;D xsi:type="xsd:double"&gt;-2.5959015&lt;/D&gt;&lt;D xsi:type="xsd:double"&gt;-9.239078&lt;/D&gt;&lt;D xsi:type="xsd:double"&gt;-10.029536&lt;/D&gt;&lt;D xsi:type="xsd:double"&gt;-17.545975&lt;/D&gt;&lt;D xsi:type="xsd:double"&gt;-14.105368&lt;/D&gt;&lt;D xsi:type="xsd:double"&gt;-23.776419&lt;/D&gt;&lt;D xsi:type="xsd:double"&gt;-21.442253&lt;/D&gt;&lt;D xsi:type="xsd:double"&gt;-24.737823&lt;/D&gt;&lt;D xsi:type="xsd:double"&gt;-21.619965&lt;/D&gt;&lt;D xsi:type="xsd:double"&gt;-13.660359&lt;/D&gt;&lt;D xsi:type="xsd:double"&gt;-14.782649&lt;/D&gt;&lt;D xsi:type="xsd:double"&gt;3.344512&lt;/D&gt;&lt;D xsi:type="xsd:double"&gt;-0.18780828&lt;/D&gt;&lt;D xsi:type="xsd:double"&gt;-9.410763&lt;/D&gt;&lt;D xsi:type="xsd:double"&gt;0.37499666&lt;/D&gt;&lt;D xsi:type="xsd:double"&gt;9.218478&lt;/D&gt;&lt;D xsi:type="xsd:double"&gt;3.136766&lt;/D&gt;&lt;D xsi:type="xsd:double"&gt;13.240278&lt;/D&gt;&lt;D xsi:type="xsd:double"&gt;-0.8008778&lt;/D&gt;&lt;D xsi:type="xsd:double"&gt;-2.4021506&lt;/D&gt;&lt;D xsi:type="xsd:double"&gt;-45.235664&lt;/D&gt;&lt;D xsi:type="xsd:double"&gt;-41.00855&lt;/D&gt;&lt;D xsi:type="xsd:double"&gt;-30.24184&lt;/D&gt;&lt;D xsi:type="xsd:double"&gt;-27.869379&lt;/D&gt;&lt;D xsi:type="xsd:double"&gt;-20.079262&lt;/D&gt;&lt;D xsi:type="xsd:double"&gt;-9.884816&lt;/D&gt;&lt;D xsi:type="xsd:double"&gt;-17.182367&lt;/D&gt;&lt;D xsi:type="xsd:double"&gt;-16.67071&lt;/D&gt;&lt;D xsi:type="xsd:double"&gt;-7.941127&lt;/D&gt;&lt;D xsi:type="xsd:double"&gt;-1.7757177&lt;/D&gt;&lt;D xsi:type="xsd:double"&gt;-1.3992488&lt;/D&gt;&lt;D xsi:type="xsd:double"&gt;11.149036&lt;/D&gt;&lt;D xsi:type="xsd:double"&gt;101.7348&lt;/D&gt;&lt;D xsi:type="xsd:double"&gt;82.03536&lt;/D&gt;&lt;D xsi:type="xsd:double"&gt;64.3102&lt;/D&gt;&lt;D xsi:type="xsd:double"&gt;45.837677&lt;/D&gt;&lt;D xsi:type="xsd:double"&gt;27.07423&lt;/D&gt;&lt;D xsi:type="xsd:double"&gt;30.02</t>
        </r>
      </text>
    </comment>
    <comment ref="A19" authorId="0" shapeId="0" xr:uid="{158648C6-1195-47AE-AA45-25B4C5CA0EC6}">
      <text>
        <r>
          <rPr>
            <b/>
            <sz val="9"/>
            <color indexed="81"/>
            <rFont val="Tahoma"/>
            <charset val="1"/>
          </rPr>
          <t>144&lt;/D&gt;&lt;D xsi:type="xsd:double"&gt;24.622238&lt;/D&gt;&lt;D xsi:type="xsd:double"&gt;38.92875&lt;/D&gt;&lt;D xsi:type="xsd:double"&gt;14.905823&lt;/D&gt;&lt;D xsi:type="xsd:double"&gt;3.8590908&lt;/D&gt;&lt;D xsi:type="xsd:double"&gt;12.0212555&lt;/D&gt;&lt;D xsi:type="xsd:double"&gt;9.078968&lt;/D&gt;&lt;D xsi:type="xsd:double"&gt;14.687204&lt;/D&gt;&lt;D xsi:type="xsd:double"&gt;2.0611525&lt;/D&gt;&lt;D xsi:type="xsd:double"&gt;-8.179527&lt;/D&gt;&lt;D xsi:type="xsd:double"&gt;-12.730044&lt;/D&gt;&lt;D xsi:type="xsd:double"&gt;-9.710789&lt;/D&gt;&lt;D xsi:type="xsd:double"&gt;-5.3073463&lt;/D&gt;&lt;D xsi:type="xsd:double"&gt;-13.491905&lt;/D&gt;&lt;D xsi:type="xsd:double"&gt;-23.28136&lt;/D&gt;&lt;D xsi:type="xsd:double"&gt;-4.8512936&lt;/D&gt;&lt;D xsi:type="xsd:double"&gt;-3.57396&lt;/D&gt;&lt;D xsi:type="xsd:double"&gt;-4.639393&lt;/D&gt;&lt;D xsi:type="xsd:double"&gt;-15.999424&lt;/D&gt;&lt;D xsi:type="xsd:double"&gt;-25.604027&lt;/D&gt;&lt;D xsi:type="xsd:double"&gt;-13.835549&lt;/D&gt;&lt;D xsi:type="xsd:double"&gt;-12.629986&lt;/D&gt;&lt;D xsi:type="xsd:double"&gt;3.3140898&lt;/D&gt;&lt;D xsi:type="xsd:double"&gt;8.341705&lt;/D&gt;&lt;D xsi:type="xsd:double"&gt;-8.23716&lt;/D&gt;&lt;D xsi:type="xsd:double"&gt;2.8620481&lt;/D&gt;&lt;D xsi:type="xsd:double"&gt;4.677558&lt;/D&gt;&lt;D xsi:type="xsd:double"&gt;-4.279709&lt;/D&gt;&lt;D xsi:type="xsd:double"&gt;0.024807453&lt;/D&gt;&lt;D xsi:type="xsd:double"&gt;-13.781661&lt;/D&gt;&lt;D xsi:type="xsd:double"&gt;-7.369775&lt;/D&gt;&lt;D xsi:type="xsd:double"&gt;-1.2266338&lt;/D&gt;&lt;D xsi:type="xsd:double"&gt;-8.206254&lt;/D&gt;&lt;D xsi:type="xsd:double"&gt;14.394975&lt;/D&gt;&lt;D xsi:type="xsd:double"&gt;7.41359&lt;/D&gt;&lt;D xsi:type="xsd:double"&gt;3.7487507&lt;/D&gt;&lt;/FQL&gt;&lt;FQL&gt;&lt;Q&gt;EWY^FMA_DIV_YLD(NTMA,-10AY,0,AM,"PORTAGG","MEANR")&lt;/Q&gt;&lt;R&gt;121&lt;/R&gt;&lt;C&gt;1&lt;/C&gt;&lt;D xsi:type="xsd:double"&gt;1.28431698446963&lt;/D&gt;&lt;D xsi:type="xsd:double"&gt;1.27694809623992&lt;/D&gt;&lt;D xsi:type="xsd:double"&gt;1.31852127620596&lt;/D&gt;&lt;D xsi:type="xsd:double"&gt;1.48631790400145&lt;/D&gt;&lt;D xsi:type="xsd:double"&gt;1.40405998704382&lt;/D&gt;&lt;D xsi:type="xsd:double"&gt;1.40634265010909&lt;/D&gt;&lt;D xsi:type="xsd:double"&gt;1.54913530451921&lt;/D&gt;&lt;D xsi:type="xsd:double"&gt;1.58621371941933&lt;/D&gt;&lt;D xsi:type="xsd:double"&gt;1.52989311906326&lt;/D&gt;&lt;D xsi:type="xsd:double"&gt;1.48909781654516&lt;/D&gt;&lt;D xsi:type="xsd:double"&gt;1.5705650585409&lt;/D&gt;&lt;D xsi:type="xsd:double"&gt;1.67487249771274&lt;/D&gt;&lt;D xsi:type="xsd:double"&gt;1.69139776262861&lt;/D&gt;&lt;D xsi:type="xsd:double"&gt;1.82535607662238&lt;/D&gt;&lt;D xsi:type="xsd:double"&gt;1.78693676902512&lt;/D&gt;&lt;D xsi:type="xsd:double"&gt;1.71742009500319&lt;/D&gt;&lt;D xsi:type="xsd:double"&gt;1.85577755403912&lt;/D&gt;&lt;D xsi:type="xsd:double"&gt;1.91656420017746&lt;/D&gt;&lt;D xsi:type="xsd:double"&gt;2.04656681257087&lt;/D&gt;&lt;D xsi:type="xsd:double"&gt;1.94948357580103&lt;/D&gt;&lt;D xsi:type="xsd:double"&gt;1.90194153640443&lt;/D&gt;&lt;D xsi:type="xsd:double"&gt;1.90343603074636&lt;/D&gt;&lt;D xsi:type="xsd:double"&gt;2.01025235790933&lt;/D&gt;&lt;D xsi:type="xsd:double"&gt;1.98793728138935&lt;/D&gt;&lt;D xsi:type="xsd:double"&gt;1.92908545530421&lt;/D&gt;&lt;D xsi:type="xsd:double"&gt;1.86437364773598&lt;/D&gt;&lt;D xsi:type="xsd:double"&gt;1.89830780460122&lt;/D&gt;&lt;D xsi:type="xsd:double"&gt;1.91184832477691&lt;/D&gt;&lt;D xsi:type="xsd:double"&gt;2.00533905844591&lt;/D&gt;&lt;D xsi:type="xsd:double"&gt;1.94565211213418&lt;/D&gt;&lt;D xsi:type="xsd:double"&gt;1.95047779401178&lt;/D&gt;&lt;D xsi:type="xsd:double"&gt;1.9328518583149&lt;/D&gt;&lt;D xsi:type="xsd:double"&gt;1.86638642799833&lt;/D&gt;&lt;D xsi:type="xsd:double"&gt;1.96747598655974&lt;/D&gt;&lt;D xsi:type="xsd:double"&gt;1.82713110171233&lt;/D&gt;&lt;D xsi:type="xsd:double"&gt;1.76877973240993&lt;/D&gt;&lt;D xsi:type="xsd:double"&gt;1.74285657214533&lt;/D&gt;&lt;D xsi:type="xsd:double"&gt;1.8347375260892&lt;/D&gt;&lt;D xsi:type="xsd:double"&gt;1.79034792093512&lt;/D&gt;&lt;D xsi:type="xsd:double"&gt;1.73011362199217&lt;/D&gt;&lt;D xsi:type="xsd:double"&gt;1.95974499915208&lt;/D&gt;&lt;D xsi:type="xsd:double"&gt;2.04592907222641&lt;/D&gt;&lt;D xsi:type="xsd:double"&gt;2.01389914498981&lt;/D&gt;&lt;D xsi:type="xsd:double"&gt;2.14620088666938&lt;/D&gt;&lt;D xsi:type="xsd:double"&gt;2.1687941933232&lt;/D&gt;&lt;D xsi:type="xsd:double"&gt;2.18586768050693&lt;/D&gt;&lt;D xsi:type="xsd:double"&gt;2.23449892836629&lt;/D&gt;&lt;D xsi:type="xsd:double"&gt;2.32268481566088&lt;/D&gt;&lt;D xsi:type="xsd:double"&gt;2.36818030013486&lt;/D&gt;&lt;D xsi:type="xsd:double"&gt;2.4445132326024&lt;/D&gt;&lt;D xsi:type="xsd:double"&gt;2.40772780520617&lt;/D&gt;&lt;D xsi:type="xsd:double"&gt;2.56102841820774&lt;/D&gt;&lt;D xsi:type="xsd:double"&gt;2.60267697899463&lt;/D&gt;&lt;D xsi:type="xsd:double"&gt;2.60506709276653&lt;/D&gt;&lt;D xsi:type="xsd:double"&gt;2.55069191093384&lt;/D&gt;&lt;D xsi:type="xsd:double"&gt;2.46696024387288&lt;/D&gt;&lt;D xsi:type="xsd:double"&gt;2.51024873627494&lt;/D&gt;&lt;D xsi:type="xsd:double"&gt;2.46531275943955&lt;/D&gt;&lt;D xsi:type="xsd:double"&gt;2.60529647833257&lt;/D&gt;&lt;D xsi:type="xsd:double"&gt;2.51319784492235&lt;/D&gt;&lt;D xsi:type="xsd:double"&gt;2.51553920451447&lt;/D&gt;&lt;D xsi:type="xsd:double"&gt;2.69511206009745&lt;/D&gt;&lt;D xsi:type="xsd:double"&gt;2.4894559764681&lt;/D&gt;&lt;D xsi:type="xsd:double"&gt;2.510321422107&lt;/D&gt;&lt;D xsi:type="xsd:double"&gt;2.38304947073981&lt;/D&gt;&lt;D xsi:type="xsd:double"&gt;2.3146063039727&lt;/D&gt;&lt;D xsi:type="xsd:double"&gt;2.26219463267975&lt;/D&gt;&lt;D xsi:type="xsd:double"&gt;2.25366855571223&lt;/D&gt;&lt;D xsi:type="xsd:double"&gt;3.41231362734397&lt;/D&gt;&lt;D xsi:type="xsd:double"&gt;2.54728165081324&lt;/D&gt;&lt;D xsi:type="xsd:double"&gt;2.41692729028694&lt;/D&gt;&lt;D xsi:type="xsd:double"&gt;2.2510102822497&lt;/D&gt;&lt;D xsi:type="xsd:double"&gt;2.20301066006805&lt;/D&gt;&lt;D xsi:type="xsd:double"&gt;2.0936129840489&lt;/D&gt;&lt;D xsi:type="xsd:double"&gt;2.08501265084677&lt;/D&gt;&lt;D xsi:type="xsd:double"&gt;2.13845208189383&lt;/D&gt;&lt;D xsi:type="xsd:double"&gt;1.99778945712536&lt;/D&gt;&lt;D xsi:type="xsd:double"&gt;1.85651730813168&lt;/D&gt;&lt;D xsi:type="xsd:double"&gt;1.65392512209744&lt;/D&gt;&lt;D xsi:type="xsd:double"&gt;1.64881571853235&lt;/D&gt;&lt;D xsi:type="xsd:double"&gt;1.6911447972549&lt;/D&gt;&lt;D xsi:type="xsd:double"&gt;1.66550240296104&lt;/D&gt;&lt;D xsi:type="xsd:double"&gt;1.73800203518273&lt;/D&gt;&lt;D xsi:type="xsd:double"&gt;1.65851966306653&lt;/D&gt;&lt;D xsi:type="xsd:double"&gt;1.70352596133037&lt;/D&gt;&lt;D xsi:type="xsd:double"&gt;1.85095094789604&lt;/D&gt;&lt;D xsi:type="xsd:double"&gt;1.83885371449118&lt;/D&gt;&lt;D xsi:type="xsd:double"&gt;1.92508355660957&lt;/D&gt;&lt;D xsi:type="xsd:double"&gt;1.98098385964571&lt;/D&gt;&lt;D xsi:type="xsd:double"&gt;1.9201117016065&lt;/D&gt;&lt;D xsi:type="xsd:double"&gt;2.03631262830083&lt;/D&gt;&lt;D xsi:type="xsd:double"&gt;2.16149906643303&lt;/D&gt;&lt;D xsi:type="xsd:double"&gt;2.22322161682728&lt;/D&gt;&lt;D xsi:type="xsd:double"&gt;2.24988258849016&lt;/D&gt;&lt;D xsi:type="xsd:double"&gt;2.37700212926024&lt;/D&gt;&lt;D xsi:type="xsd:double"&gt;2.52925121622551&lt;/D&gt;&lt;D xsi:type="xsd:double"&gt;2.60272643830881&lt;/D&gt;&lt;D xsi:type="xsd:double"&gt;2.50352607842991&lt;/D&gt;&lt;D xsi:type="xsd:double"&gt;2.68398094307918&lt;/D&gt;&lt;D xsi:type="xsd:double"&gt;2.72600131845482&lt;/D&gt;&lt;D xsi:type="xsd:double"&gt;2.50407441956384&lt;/D&gt;&lt;D xsi:type="xsd:double"&gt;2.54772741362176&lt;/D&gt;&lt;D xsi:type="xsd:double"&gt;2.50910366860027&lt;/D&gt;&lt;D xsi:type="xsd:double"&gt;2.46010751574189&lt;/D&gt;&lt;D xsi:type="xsd:double"&gt;2.48984594670765&lt;/D&gt;&lt;D xsi:type="xsd:double"&gt;2.2869325935099&lt;/D&gt;&lt;D xsi:type="xsd:double"&gt;2.37819169116948&lt;/D&gt;&lt;D xsi:type="xsd:double"&gt;2.29301808449385&lt;/D&gt;&lt;D xsi:type="xsd:double"&gt;2.33024363759159&lt;/D&gt;&lt;D xsi:type="xsd:double"&gt;2.4793414945887&lt;/D&gt;&lt;D xsi:type="xsd:double"&gt;2.37313872524294&lt;/D&gt;&lt;D xsi:type="xsd:double"&gt;2.53048056463605&lt;/D&gt;&lt;D xsi:type="xsd:double"&gt;2.42675421532023&lt;/D&gt;&lt;D xsi:type="xsd:double"&gt;2.31833294755454&lt;/D&gt;&lt;D xsi:type="xsd:double"&gt;2.41309545984039&lt;/D&gt;&lt;D xsi:type="xsd:double"&gt;2.23665813768494&lt;/D&gt;&lt;D xsi:type="xsd:double"&gt;2.23405965402192&lt;/D&gt;&lt;D xsi:type="xsd:double"&gt;2.28209509395711&lt;/D&gt;&lt;D xsi:type="xsd:double"&gt;2.17271729722645&lt;/D&gt;&lt;D xsi:type="xsd:double"&gt;2.10583607241768&lt;/D&gt;&lt;D xsi:type="xsd:double"&gt;2.06458071653989&lt;/D&gt;&lt;/FQL&gt;&lt;FQL&gt;&lt;Q&gt;EWZ^FMA_PE(NTMA,-10AY,0,AM,"PORTAGG","MEANR")&lt;/Q&gt;&lt;R&gt;121&lt;/R&gt;&lt;C&gt;1&lt;/C&gt;&lt;D xsi:type="xsd:double"&gt;11.783593586017&lt;/D&gt;&lt;D xsi:type="xsd:double"&gt;12.1332474996867&lt;/D&gt;&lt;D xsi:type="xsd:double"&gt;11.977990926509&lt;/D&gt;&lt;D xsi:type="xsd:double"&gt;11.6847800743585&lt;/D&gt;&lt;D xsi:type="xsd:double"&gt;11.4347579911292&lt;/D&gt;&lt;D xsi:type="xsd:double"&gt;11.0298993759248&lt;/D&gt;&lt;D xsi:type="xsd:double"&gt;11.2817943601753&lt;/D&gt;&lt;D xsi:type="xsd:double"&gt;11.9857675613145&lt;/D&gt;&lt;D xsi:type="xsd:double"&gt;12.6234436157554&lt;/D&gt;&lt;D xsi:type="xsd:double"&gt;13.7559699442375&lt;/D&gt;&lt;D xsi:type="xsd:double"&gt;13.89971938602&lt;/D&gt;&lt;D xsi:type="xsd:double"&gt;13.3149393698303&lt;/D&gt;&lt;D xsi:type="xsd:double"&gt;12.7887925747973&lt;/D&gt;&lt;D xsi:type="xsd:double"&gt;11.1367026551742&lt;/D&gt;&lt;D xsi:type="xsd:double"&gt;11.2145253594665&lt;/D&gt;&lt;D xsi:type="xsd:double"&gt;11.1787084158213&lt;/D&gt;&lt;D xsi:type="xsd:double"&gt;11.2580487881943&lt;/D&gt;&lt;D xsi:type="xsd:double"&gt;10.5095466481496&lt;/D&gt;&lt;D xsi:type="xsd:double"&gt;9.40935939609654&lt;/D&gt;&lt;D xsi:type="xsd:double"&gt;10.792465804952&lt;/D&gt;&lt;D xsi:type="xsd:double"&gt;13.25225293497&lt;/D&gt;&lt;D xsi:type="xsd:double"&gt;13.8249115606746&lt;/D&gt;&lt;D xsi:type="xsd:double"&gt;12.4151142769942&lt;/D&gt;&lt;D xsi:type="xsd:double"&gt;12.0772424381355&lt;/D&gt;&lt;D xsi:type="xsd:double"&gt;13.5897772788526&lt;/D&gt;&lt;D xsi:type="xsd:double"&gt;14.0858040354087&lt;/D&gt;&lt;D xsi:type="xsd:double"&gt;13.5222250617607&lt;/D&gt;&lt;D xsi:type="xsd:double"&gt;14.6630545204173&lt;/D&gt;&lt;D xsi:type="xsd:double"&gt;13.5188883231932&lt;/D&gt;&lt;D xsi:type="xsd:double"&gt;12.1903992548008&lt;/D&gt;&lt;D xsi:type="xsd:double"&gt;13.2329795248339&lt;/D&gt;&lt;D xsi:type="xsd:double"&gt;13.7827284601621&lt;/D&gt;&lt;D xsi:type="xsd:double"&gt;12.7093886976668&lt;/D&gt;&lt;D xsi:type="xsd:double"&gt;12.3846280818481&lt;/D&gt;&lt;D xsi:type="xsd:double"&gt;12.0950490834199&lt;/D&gt;&lt;D xsi:type="xsd:double"&gt;11.8389511664276&lt;/D&gt;&lt;D xsi:type="xsd:double"&gt;12.2960403910721&lt;/D&gt;&lt;D xsi:type="xsd:double"&gt;13.0502146596324&lt;/D&gt;&lt;D xsi:type="xsd:double"&gt;14.1838890349405&lt;/D&gt;&lt;D xsi:type="xsd:double"&gt;13.999205617384&lt;/D&gt;&lt;D xsi:type="xsd:double"&gt;13.155124467107&lt;/D&gt;&lt;D xsi:type="xsd:double"&gt;12.9301853986946&lt;/D&gt;&lt;D xsi:type="xsd:double"&gt;13.7793771401452&lt;/D&gt;&lt;D xsi:type="xsd:double"&gt;13.5797682108525&lt;/D&gt;&lt;D xsi:type="xsd:double"&gt;12.7007897544714&lt;/D&gt;&lt;D xsi:type="xsd:double"&gt;12.8235436390087&lt;/D&gt;&lt;D xsi:type="xsd:double"&gt;12.0190293524675&lt;/D&gt;&lt;D xsi:type="xsd:double"&gt;10.4748868773612&lt;/D&gt;&lt;D xsi:type="xsd:double"&gt;10.9223591356918&lt;/D&gt;&lt;D xsi:type="xsd:double"&gt;10.7360885536659&lt;/D&gt;&lt;D xsi:type="xsd:double"&gt;10.6032179766331&lt;/D&gt;&lt;D xsi:type="xsd:double"&gt;11.1095247444071&lt;/D&gt;&lt;D xsi:type="xsd:double"&gt;11.5348640907846&lt;/D&gt;&lt;D xsi:type="xsd:double"&gt;11.2517489964751&lt;/D&gt;&lt;D xsi:type="xsd:double"&gt;13.0276428193818&lt;/D&gt;&lt;D xsi:type="xsd:double"&gt;12.7914982130289&lt;/D&gt;&lt;D xsi:type="xsd:double"&gt;12.6101926514431&lt;/D&gt;&lt;D xsi:type="xsd:double"&gt;11.4559175393489&lt;/D&gt;&lt;D xsi:type="xsd:double"&gt;11.1329483851999&lt;/D&gt;&lt;D xsi:type="xsd:double"&gt;12.4648231618015&lt;/D&gt;&lt;D xsi:type="xsd:double"&gt;12.6584416351028&lt;/D&gt;&lt;D xsi:type="xsd:double"&gt;12.3552050119142&lt;/D&gt;&lt;D xsi:type="xsd:double"&gt;12.9030255705228&lt;/D&gt;&lt;D xsi:type="xsd:double"&gt;13.0706390917035&lt;/D&gt;&lt;D xsi:type="xsd:double"&gt;13.3069307492034&lt;/D&gt;&lt;D xsi:type="xsd:double"&gt;14.3643321916529&lt;/D&gt;&lt;D xsi:type="xsd:double"&gt;14.6211790467143&lt;/D&gt;&lt;D xsi:type="xsd:double"&gt;14.2910510665909&lt;/D&gt;&lt;D xsi:type="xsd:double"&gt;9.478368488531&lt;/D&gt;&lt;D xsi:type="xsd:double"&gt;12.3334990291917&lt;/D&gt;&lt;D xsi:type="xsd:double"&gt;15.3811595606423&lt;/D&gt;&lt;D xsi:type="xsd:double"&gt;18.4679593259594&lt;/D&gt;&lt;D xsi:type="xsd:double"&gt;27.0289951113629&lt;/D&gt;&lt;D xsi:type="xsd:double"&gt;24.8283104758687&lt;/D&gt;&lt;D xsi:type="xsd:double"&gt;19.215604347668&lt;/D&gt;&lt;D xsi:type="xsd:double"&gt;16.284316639452&lt;/D&gt;&lt;D xsi:type="xsd:double"&gt;14.6197165120396&lt;/D&gt;&lt;D xsi:type="xsd:double"&gt;13.4363643864464&lt;/D&gt;&lt;D xsi:type="xsd:double"&gt;12.1171280846148&lt;/D&gt;&lt;D xsi:type="xsd:double"&gt;11.0444541618222&lt;/D&gt;&lt;D xsi:type="xsd:double"&gt;9.60975069136048&lt;/D&gt;&lt;D xsi:type="xsd:double"&gt;9.2510751610433&lt;/D&gt;&lt;D xsi:type="xsd:double"&gt;9.01291271344842&lt;/D&gt;&lt;D xsi:type="xsd:double"&gt;9.37584747666016&lt;/D&gt;&lt;D xsi:type="xsd:double"&gt;8.64952651451573&lt;/D&gt;&lt;D xsi:type="xsd:double"&gt;7.78287468993197&lt;/D&gt;&lt;D xsi:type="xsd:double"&gt;7.52139474326031&lt;/D&gt;&lt;D xsi:type="xsd:double"&gt;7.71452712622732&lt;/D&gt;&lt;D xsi:type="xsd:double"&gt;7.31022579356389&lt;/D&gt;&lt;D xsi:type="xsd:double"&gt;7.88271625279225&lt;/D&gt;&lt;D xsi:type="xsd:double"&gt;7.94573369386804&lt;/D&gt;&lt;D xsi:type="xsd:double"&gt;8.0099229583986&lt;/D&gt;&lt;D xsi:type="xsd:double"&gt;7.82625891676425&lt;/D&gt;&lt;D xsi:type="xsd:double"&gt;7.34375406809957&lt;/D&gt;&lt;D xsi:type="xsd:double"&gt;6.46191020994864&lt;/D&gt;&lt;D xsi:type="xsd:double"&gt;6.02377652075603&lt;/D&gt;&lt;D xsi:type="xsd:double"&gt;5.97122016380343&lt;/D&gt;&lt;D xsi:type="xsd:double"&gt;6.34926015361963&lt;/D&gt;&lt;D xsi:type="xsd:double"&gt;6.54102906319109&lt;/D&gt;&lt;D xsi:type="xsd:double"&gt;7.11474650400853&lt;/D&gt;&lt;D xsi:type="xsd:double"&gt;6.82368619534226&lt;/D&gt;&lt;D xsi:type="xsd:double"&gt;6.60211206352423&lt;/D&gt;&lt;D xsi:type="xsd:double"&gt;7.14614549245129&lt;/D&gt;&lt;D xsi:type="xsd:double"&gt;7.09083751478867&lt;/D&gt;&lt;D xsi:type="xsd:double"&gt;6.46983294113068&lt;/D&gt;&lt;D xsi:type="xsd:double"&gt;6.75832314612048&lt;/D&gt;&lt;D xsi:type="xsd:double"&gt;7.17324388780743&lt;/D&gt;&lt;D xsi:type="xsd:double"&gt;7.82598856764521&lt;/D&gt;&lt;D xsi:type="xsd:double"&gt;7.84339529901877&lt;/D&gt;&lt;D xsi:type="xsd:double"&gt;7.82950001615004&lt;/D&gt;&lt;D xsi:type="xsd:double"&gt;7.82644637003727&lt;/D&gt;&lt;D xsi:type="xsd:double"&gt;7.45504725610392&lt;/D&gt;&lt;D xsi:type="xsd:double"&gt;7.90882713458183&lt;/D&gt;&lt;D xsi:type="xsd:double"&gt;7.91072021961908&lt;/D&gt;&lt;D xsi:type="xsd:double"&gt;7.53885606466147&lt;/D&gt;&lt;D xsi:type="xsd:double"&gt;7.89619022790054&lt;/D&gt;&lt;D xsi:type="xsd:double"&gt;7.74717820637238&lt;/D&gt;&lt;D xsi:type="xsd:double"&gt;7.52938405966305&lt;/D&gt;&lt;D xsi:type="xsd:double"&gt;7.53604579178434&lt;/D&gt;&lt;D xsi:type="xsd:double"&gt;6.88482796566147&lt;/D&gt;&lt;D xsi:type="xsd:double"&gt;7.36033011849273&lt;/D&gt;&lt;/FQL&gt;&lt;FQL&gt;&lt;Q&gt;WL-FDS^MAX(FG_PRICE(0,-5AY))&lt;/Q&gt;&lt;R&gt;1&lt;/R&gt;&lt;C&gt;1&lt;/C&gt;&lt;D xsi:type="xsd:double"&gt;763.4&lt;/D&gt;&lt;/FQL&gt;&lt;FQL&gt;&lt;Q&gt;CPALM-FDS^FG_PRICE(0)&lt;/Q&gt;&lt;R&gt;1&lt;/R&gt;&lt;C&gt;1&lt;/C&gt;&lt;D xsi:type="xsd:double"&gt;4013&lt;/D&gt;&lt;/FQL&gt;&lt;FQL&gt;&lt;Q&gt;COPP-FDS^FG_PRICE_CHANGE(0,-3AM)&lt;/Q&gt;&lt;R&gt;1&lt;/R&gt;&lt;C&gt;1&lt;/C&gt;&lt;D xsi:type="xsd:double"&gt;-6.28609506885828&lt;/D&gt;&lt;/FQL&gt;&lt;FQL&gt;&lt;Q&gt;KSA^FG_PRICE_MAVG(0,,,,30)&lt;/Q&gt;&lt;R&gt;1&lt;/R&gt;&lt;C&gt;1&lt;/C&gt;&lt;D xsi:type="xsd:double"&gt;40.898&lt;/D&gt;&lt;/FQL&gt;&lt;FQL&gt;&lt;Q&gt;QAT^FG_PRICE_MAVG(0,,,,60)&lt;/Q&gt;&lt;R&gt;1&lt;/R&gt;&lt;C&gt;1&lt;/C&gt;&lt;D xsi:type="xsd:double"&gt;17.003193&lt;/D&gt;&lt;/FQL&gt;&lt;FQL&gt;&lt;Q&gt;EPU^FG_PRICE_MAVG(0,,,,30)&lt;/Q&gt;&lt;R&gt;1&lt;/R&gt;&lt;C&gt;1&lt;/C&gt;&lt;D xsi:type="xsd:double"&gt;41.09516&lt;/D&gt;&lt;/FQL&gt;&lt;FQL&gt;&lt;Q&gt;CNYA^FG_PRICE_MAVG(0,,,,60)&lt;/Q&gt;&lt;R&gt;1&lt;/R&gt;&lt;C&gt;1&lt;/C&gt;&lt;D xsi:type="xsd:double"&gt;26.252886&lt;/D&gt;&lt;/FQL&gt;&lt;FQL&gt;&lt;Q&gt;VNM^PERCENT_CHANGE(FMA_EPS(+1,0,,,,"PORTAGG","MEAN"),FMA_EPS(+1,-1AM,,,,"PORTAGG","MEAN"))&lt;/Q&gt;&lt;R&gt;1&lt;/R&gt;&lt;C&gt;1&lt;/C&gt;&lt;D xsi:type="xsd:double"&gt;4.44827483812148&lt;/D&gt;&lt;/FQL&gt;&lt;FQL&gt;&lt;Q&gt;MCHI^P_PRICE(0)/P_PRICE_LOW_PR(0,,,,,,"PRICE","INTRA","52W")-1&lt;/Q&gt;&lt;R&gt;1&lt;/R&gt;&lt;C&gt;1&lt;/C&gt;&lt;D xsi:type="xsd:double"&gt;0.18100047&lt;/D&gt;&lt;/FQL&gt;&lt;FQL&gt;&lt;Q&gt;GREK^FG_TOTAL_RETURNC(0,-3AM)&lt;/Q&gt;&lt;R&gt;1&lt;/R&gt;&lt;C&gt;1&lt;/C&gt;&lt;D xsi:type="xsd:double"&gt;9.023582&lt;/D&gt;&lt;/FQL&gt;&lt;FQL&gt;&lt;Q&gt;EWZ^FG_TOTAL_RETURNC(0,-1AM)&lt;/Q&gt;&lt;R&gt;1&lt;/R&gt;&lt;C&gt;1&lt;/C&gt;&lt;D xsi:type="xsd:double"&gt;3.4737587&lt;/D&gt;&lt;/FQL&gt;&lt;FQL&gt;&lt;Q&gt;EPOL^FMA_PCT_ABOVE_MAVG(200,0,,,,"PORTAGG")&lt;/Q&gt;&lt;R&gt;1&lt;/R&gt;&lt;C&gt;1&lt;/C&gt;&lt;D xsi:type="xsd:double"&gt;63.6363636363636&lt;/D&gt;&lt;/FQL&gt;&lt;FQL&gt;&lt;Q&gt;VNM^FMA_COS_UP("EPS","1M",+1,NOW,,,"PORTAGG","MEANR")&lt;/Q&gt;&lt;R&gt;1&lt;/R&gt;&lt;C&gt;1&lt;/C&gt;&lt;D xsi:type="xsd:double"&gt;8&lt;/D&gt;&lt;/FQL&gt;&lt;FQL&gt;&lt;Q&gt;INDA^FMA_COS_UP("EPS","1M",+1,NOW,,,"PORTAGG","MEANR")&lt;/Q&gt;&lt;R&gt;1&lt;/R&gt;&lt;C&gt;1&lt;/C&gt;&lt;D xsi:type="xsd:double"&gt;55&lt;/D&gt;&lt;/FQL&gt;&lt;FQL&gt;&lt;Q&gt;EWM^SIZE(FG_CONSTITUENTS)&lt;/Q&gt;&lt;R&gt;1&lt;/R&gt;&lt;C&gt;1&lt;/C&gt;&lt;D xsi:type="xsd:long"&gt;33&lt;/D&gt;&lt;/FQL&gt;&lt;FQL&gt;&lt;Q&gt;TRYGR10Y-FDS^FG_YIELD(0,,,,"YTM")&lt;/Q&gt;&lt;R&gt;1&lt;/R&gt;&lt;C&gt;1&lt;/C&gt;&lt;D xsi:type="xsd:double"&gt;3.429&lt;/D&gt;&lt;/FQL&gt;&lt;FQL&gt;&lt;Q&gt;CNYA^FMA_DIV_YLD(NTMA,NOW,NOW,M,"PORTAGG","MEANR")&lt;/Q&gt;&lt;R&gt;1&lt;/R&gt;&lt;C&gt;1&lt;/C&gt;&lt;D xsi:type="xsd:double"&gt;3.0594944481675&lt;/D&gt;&lt;/FQL&gt;&lt;FQL&gt;&lt;Q&gt;EWM^FMA_COS_DOWN("EPS","1M",+1,NOW,,,"PORTAGG","MEANR")&lt;/Q&gt;&lt;R&gt;1&lt;/R&gt;&lt;C&gt;1&lt;/C&gt;&lt;D xsi:type="xsd:double"&gt;9&lt;/D&gt;&lt;/FQL&gt;&lt;FQL&gt;&lt;Q&gt;EWW^FG_ROE(0)&lt;/Q&gt;&lt;R&gt;1&lt;/R&gt;&lt;C&gt;1&lt;/C&gt;&lt;D xsi:type="xsd:double"&gt;10.7675957018637&lt;/D&gt;&lt;/FQL&gt;&lt;FQL&gt;&lt;Q&gt;GREK^PERCENT_CHANGE(FMA_EPS(+1,0,,,,"PORTAGG","MEAN"),FMA_EPS(+1,-3AM,,,,"PORTAGG","MEAN"))&lt;/Q&gt;&lt;R&gt;1&lt;/R&gt;&lt;C&gt;1&lt;/C&gt;&lt;D xsi:type="xsd:double"&gt;8.79563941885878&lt;/D&gt;&lt;/FQL&gt;&lt;FQL&gt;&lt;Q&gt;TUR^JULIAN(FMA_DIV_YLD(NTMA,NOW,NOW,M,"PORTAGG","MEANR").DATES)&lt;/Q&gt;&lt;R&gt;1&lt;/R&gt;&lt;C&gt;1&lt;/C&gt;&lt;D xsi:type="xsd:long"&gt;45471&lt;/D&gt;&lt;/FQL&gt;&lt;FQL&gt;&lt;Q&gt;GREK^FMA_PE(LTM,0,,,"PORTAGG","MEANR")&lt;/Q&gt;&lt;R&gt;1&lt;/R&gt;&lt;C&gt;1&lt;/C&gt;&lt;D xsi:type="xsd:double"&gt;7.74888473192852&lt;/D&gt;&lt;/FQL&gt;&lt;FQL&gt;&lt;Q&gt;CAGDPY@TH^EE_ACTUAL_ANNUAL(MED,0)&lt;/Q&gt;&lt;R&gt;1&lt;/R&gt;&lt;C&gt;1&lt;/C&gt;&lt;D xsi:type="xsd:double"&gt;1.22282398910213&lt;/D&gt;&lt;/FQL&gt;&lt;FQL&gt;&lt;Q&gt;CC_TW^FG_COMPANY_NAME&lt;/Q&gt;&lt;R&gt;1&lt;/R&gt;&lt;C&gt;1&lt;/C&gt;&lt;D xsi:type="xsd:string"&gt;Taiwan, China&lt;/D&gt;&lt;/FQL&gt;&lt;FQL&gt;&lt;Q&gt;USDIDR^FG_PRICE_CHANGE(0,-3AM)&lt;/Q&gt;&lt;R&gt;1&lt;/R&gt;&lt;C&gt;1&lt;/C&gt;&lt;D xsi:type="xsd:double"&gt;-0.39987564&lt;/D&gt;&lt;/FQL&gt;&lt;FQL&gt;&lt;Q&gt;FC0000GR^FMA_EPS(NTMA,-20AY,0,CY,,"PORTAGG","MEANR")&lt;/Q&gt;&lt;R&gt;20&lt;/R&gt;&lt;C&gt;1&lt;/C&gt;&lt;D xsi:type="xsd:double"&gt;10.0263829592273&lt;/D&gt;&lt;D xsi:type="xsd:double"&gt;10.1383155721295&lt;/D&gt;&lt;D xsi:type="xsd:double"&gt;13.780296395744&lt;/D&gt;&lt;D xsi:type="xsd:double"&gt;19.0687884512301&lt;/D&gt;&lt;D xsi:type="xsd:double"&gt;14.4348202091653&lt;/D&gt;&lt;D xsi:type="xsd:double"&gt;11.7776779993124&lt;/D&gt;&lt;D xsi:type="xsd:double"&gt;7.89872428476136&lt;/D&gt;&lt;D xsi:type="xsd:double"&gt;4.25532007667177&lt;/D&gt;&lt;D xsi:type="xsd:double"&gt;3.48757992339741&lt;/D&gt;&lt;D xsi:type="xsd:double"&gt;1.35869561359766&lt;/D&gt;&lt;D xsi:type="xsd:double"&gt;2.30816157475713&lt;/D&gt;&lt;D xsi:type="xsd:double"&gt;1.40229646911472&lt;/D&gt;&lt;D xsi:type="xsd:double"&gt;0.485154410379686&lt;/D&gt;&lt;D xsi:type="xsd:double"&gt;0.505979411552489&lt;/D&gt;&lt;D xsi:type="xsd:double"&gt;0.451702417206922&lt;/D&gt;&lt;D xsi:type="xsd:double"&gt;0.580096132576718&lt;/D&gt;&lt;D xsi:type="xsd:double"&gt;0.557417673683109&lt;/D&gt;&lt;D xsi:type="xsd:double"&gt;0.621885469021717&lt;/D&gt;&lt;D xsi:type="xsd:double"&gt;0.869531876625146&lt;/D&gt;&lt;D xsi:type="xsd:double"&gt;1.21959709581891&lt;/D&gt;&lt;/FQL&gt;&lt;FQL&gt;&lt;Q&gt;EWW^FG_TOTAL_RETURNC(-10AY,0,AM)&lt;/Q&gt;&lt;R&gt;121&lt;/R&gt;&lt;C&gt;1&lt;/C&gt;&lt;D xsi:type="xsd:double"&gt;3.6568642&lt;/D&gt;&lt;D xsi:type="xsd:double"&gt;1.4222145&lt;/D&gt;&lt;D xsi:type="xsd:double"&gt;-0.44867992&lt;/D&gt;&lt;D xsi:type="xsd:double"&gt;-7.4647903&lt;/D&gt;&lt;D xsi:type="xsd:double"&gt;1.0806799&lt;/D&gt;&lt;D xsi:type="xsd:double"&gt;-10.100383&lt;/D&gt;&lt;D xsi:type="xsd:double"&gt;-1.690048&lt;/D&gt;&lt;D xsi:type="xsd:double"&gt;0.97988844&lt;/D&gt;&lt;D xsi:type="xsd:double"&gt;-0.5788207&lt;/D&gt;&lt;D xsi:type="xsd:double"&gt;2.0547867&lt;/D&gt;&lt;D xsi:type="xsd:double"&gt;0.68792105&lt;/D&gt;&lt;D xsi:type="xsd:double"&gt;-1.9496739&lt;/D&gt;&lt;D xsi:type="xsd:double"&gt;-1.8717289&lt;/D&gt;&lt;D xsi:type="xsd:double"&gt;-7.15158&lt;/D&gt;&lt;D xsi:type="xsd:double"&gt;0.037574768&lt;/D&gt;&lt;D xsi:type="xsd:double"&gt;3.1924844&lt;/D&gt;&lt;D xsi:type="xsd:double"&gt;-0.12738705&lt;/D&gt;&lt;D xsi:type="xsd:double"&gt;-6.5142155&lt;/D&gt;&lt;D xsi:type="xsd:double"&gt;-11.150199&lt;/D&gt;&lt;D xsi:type="xsd:double"&gt;6.4336658&lt;/D&gt;&lt;D xsi:type="xsd:double"&gt;10.834551&lt;/D&gt;&lt;D xsi:type="xsd:double"&gt;1.6040683&lt;/D&gt;&lt;D xsi:type="xsd:double"&gt;-8.079493&lt;/D&gt;&lt;D xsi:type="xsd:double"&gt;-1.6164958&lt;/D&gt;&lt;D xsi:type="xsd:double"&gt;5.7810783&lt;/D&gt;&lt;D xsi:type="xsd:double"&gt;3.9285064&lt;/D&gt;&lt;D xsi:type="xsd:double"&gt;-11.69911&lt;/D&gt;&lt;D xsi:type="xsd:double"&gt;12.071919&lt;/D&gt;&lt;D xsi:type="xsd:double"&gt;-17.933537&lt;/D&gt;&lt;D xsi:type="xsd:double"&gt;3.0020833&lt;/D&gt;&lt;D xsi:type="xsd:double"&gt;-5.2630424&lt;/D&gt;&lt;D xsi:type="xsd:double"&gt;9.535217&lt;/D&gt;&lt;D xsi:type="xsd:double"&gt;9.514427&lt;/D&gt;&lt;D xsi:type="xsd:double"&gt;1.7175913&lt;/D&gt;&lt;D xsi:type="xsd:double"&gt;2.1205544&lt;/D&gt;&lt;D xsi:type="xsd:double"&gt;4.191506&lt;/D&gt;&lt;D xsi:type="xsd:double"&gt;6.627059&lt;/D&gt;&lt;D xsi:type="xsd:double"&gt;-0.5074382&lt;/D&gt;&lt;D xsi:type="xsd:double"&gt;-2.1280348&lt;/D&gt;&lt;D xsi:type="xsd:double"&gt;-5.55256&lt;/D&gt;&lt;D xsi:type="xsd:double"&gt;-4.3759584&lt;/D&gt;&lt;D xsi:type="xsd:double"&gt;-0.51998496&lt;/D&gt;&lt;D xsi:type="xsd:double"&gt;6.041622&lt;/D&gt;&lt;D xsi:type="xsd:double"&gt;-0.72408915&lt;/D&gt;&lt;D xsi:type="xsd:double"&gt;-4.376197&lt;/D&gt;&lt;D xsi:type="xsd:double"&gt;5.4395795&lt;/D&gt;&lt;D xsi:type="xsd:double"&gt;-13.287645&lt;/D&gt;&lt;D xsi:type="xsd:double"&gt;-1.2647033&lt;/D&gt;&lt;D xsi:type="xsd:double"&gt;12.837828&lt;/D&gt;&lt;D xsi:type="xsd:double"&gt;-0.5788386&lt;/D&gt;&lt;D xsi:type="xsd:double"&gt;3.031516&lt;/D&gt;&lt;D xsi:type="xsd:double"&gt;-7.190174&lt;/D&gt;&lt;D xsi:type="xsd:double"&gt;-13.541889&lt;/D&gt;&lt;D xsi:type="xsd:double"&gt;-1.6683042&lt;/D&gt;&lt;D xsi:type="xsd:double"&gt;12.337982&lt;/D&gt;&lt;D xsi:type="xsd:double"&gt;-2.4628341&lt;/D&gt;&lt;D xsi:type="xsd:double"&gt;-0.31846762&lt;/D&gt;&lt;D xsi:type="xsd:double"&gt;7.553637&lt;/D&gt;&lt;D xsi:type="xsd:double"&gt;-6.1531963&lt;/D&gt;&lt;D xsi:type="xsd:double"&gt;1.5767694&lt;/D&gt;&lt;D xsi:type="xsd:double"&gt;-3.5657525&lt;/D&gt;&lt;D xsi:type="xsd:double"&gt;-8.572775&lt;/D&gt;&lt;D xsi:type="xsd:double"&gt;11.514688&lt;/D&gt;&lt;D xsi:type="xsd:double"&gt;2.402401&lt;/D&gt;&lt;D xsi:type="xsd:double"&gt;0.06767511&lt;/D&gt;&lt;D xsi:type="xsd:double"&gt;4.8187256&lt;/D&gt;&lt;D xsi:type="xsd:double"&gt;4.2335987&lt;/D&gt;&lt;D xsi:type="xsd:double"&gt;-0.9373009&lt;/D&gt;&lt;D xsi:type="xsd:double"&gt;-39.865433&lt;/D&gt;&lt;D xsi:type="xsd:double"&gt;-1.363641&lt;/D&gt;&lt;D xsi:type="xsd:double"&gt;3.7575364&lt;/D&gt;&lt;D xsi:type="xsd:double"&gt;13.410675&lt;/D&gt;&lt;D xsi:type="xsd:double"&gt;-4.8684654&lt;/D&gt;&lt;D xsi:type="xsd:double"&gt;9.3134165&lt;/D&gt;&lt;D xsi:type="xsd:double"&gt;-3.024137&lt;/D&gt;&lt;D xsi:type="xsd:double"&gt;4.377818&lt;/D&gt;&lt;D xsi:type="xsd:double"&gt;16.977882&lt;/D&gt;&lt;D xsi:type="xsd:double"&gt;5.460155&lt;/D&gt;&lt;D xsi:type="xsd:double"&gt;4.0288568&lt;/D&gt;&lt;D xsi:type="xsd:double"&gt;-5.548006&lt;/D&gt;&lt;D xsi:type="xsd:double"&gt;5.0587416&lt;/D&gt;&lt;D xsi:type="xsd:double"&gt;5.6138754&lt;/D&gt;&lt;D xsi:type="xsd:double"&gt;2.3120165&lt;/D&gt;&lt;D xsi:type="xsd:double"&gt;-0.34453273&lt;/D&gt;&lt;D xsi:type="xsd:double"&gt;0.23494959&lt;/D&gt;&lt;D xsi:type="xsd:double"&gt;4.0272713&lt;/D&gt;&lt;D xsi:type="xsd:double"&gt;1.8025398&lt;/D&gt;&lt;D xsi:type="xsd:double"&gt;0.38229227&lt;/D&gt;&lt;D xsi:type="xsd:double"&gt;-5.2515507&lt;/D&gt;&lt;D xsi:type="xsd:double"&gt;4.763448&lt;/D&gt;&lt;D xsi:type="xsd:double"&gt;2.2322297&lt;/D&gt;&lt;D xsi:type="xsd:double"&gt;0.5809307&lt;/D&gt;&lt;D xsi:type="xsd:double"&gt;4.740095&lt;/D&gt;&lt;D xsi:type="xsd:double"&gt;1.1218905&lt;/D&gt;&lt;D xsi:type="xsd:double"&gt;-4.5693874&lt;/D&gt;&lt;D xsi:type="xsd:double"&gt;-8.349389&lt;/D&gt;&lt;D xsi:type="xsd:double"&gt;-0.32744408&lt;/D&gt;&lt;D xsi:type="xsd:double"&gt;4.0297866&lt;/D&gt;&lt;D xsi:type="xsd:double"&gt;-1.8947423&lt;/D&gt;&lt;D xsi:type="xsd:double"&gt;-1.2446284&lt;/D&gt;&lt;D xsi:type="xsd:double"&gt;15.927851&lt;/D&gt;&lt;D xsi:type="xsd:double"&gt;-4.1493773&lt;/D&gt;&lt;D xsi:type="xsd:double"&gt;11.774087&lt;/D&gt;&lt;D xsi:type="xsd:double"&gt;4.5170546&lt;/D&gt;&lt;D xsi:type="xsd:double"&gt;-6.747526&lt;/D&gt;&lt;D xsi:type="xsd:double"&gt;9.250772&lt;/D&gt;&lt;D xsi:type="xsd:double"&gt;2.1797419&lt;/D&gt;&lt;D xsi:type="xsd:double"&gt;5.964005&lt;/D&gt;&lt;D xsi:type="xsd:double"&gt;-0.2184093&lt;/D&gt;&lt;D xsi:type="xsd:double"&gt;-3.2989383&lt;/D&gt;&lt;D xsi:type="xsd:double"&gt;-1.665318&lt;/D&gt;&lt;D xsi:type="xsd:double"&gt;-11.67379&lt;/D&gt;&lt;D xsi:type="xsd:double"&gt;15.580786&lt;/D&gt;&lt;D xsi:type="xsd:double"&gt;10.839105&lt;/D&gt;&lt;D xsi:type="xsd:double"&gt;-3.9159656&lt;/D&gt;&lt;D xsi:type="xsd:double"&gt;3.347671&lt;/D&gt;&lt;D xsi:type="xsd:double"&gt;-1.8425047&lt;/D&gt;&lt;D xsi:type="xsd:double"&gt;-1.7711163&lt;/D&gt;&lt;D xsi:type="xsd:double"&gt;6.272149&lt;/D&gt;&lt;D xsi:type="xsd:double"&gt;-16.956211&lt;/D&gt;&lt;D xsi:type="xsd:double"&gt;3.1695724&lt;/D&gt;&lt;/FQL&gt;&lt;FQL&gt;&lt;Q&gt;EWW^FMA_PE(NTMA,-10AY,0,AM,"PORTAGG","MEANR")&lt;/Q&gt;&lt;R&gt;121&lt;/R&gt;&lt;C&gt;1&lt;/C&gt;&lt;D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xsi:type="xsd:double"&gt;16.2072402627154&lt;/D&gt;&lt;D xsi:type="xsd:double"&gt;17.5067122483984&lt;/D&gt;&lt;D xsi:type="xsd:double"&gt;18.4298696716768&lt;/D&gt;&lt;D xsi:type="xsd:double"&gt;19.6469294345414&lt;/D&gt;&lt;D xsi:type="xsd:double"&gt;19.1940013233355&lt;/D&gt;&lt;D xsi:type="xsd:double"&gt;18.316955237272&lt;/D&gt;&lt;D xsi:type="xsd:double"&gt;18.6250204183464&lt;/D&gt;&lt;D xsi:type="xsd:double"&gt;18.830574888928&lt;/D&gt;&lt;D xsi:type="xsd:double"&gt;17.3527294952009&lt;/D&gt;&lt;D xsi:type="xsd:double"&gt;18.3164986235981&lt;/D&gt;&lt;D xsi:type="xsd:double"&gt;16.4376048850848&lt;/D&gt;&lt;D xsi:type="xsd:double"&gt;16.11469879411&lt;/D&gt;&lt;D xsi:type="xsd:double"&gt;16.0161035399065&lt;/D&gt;&lt;D xsi:type="xsd:double"&gt;16.3839314480041&lt;/D&gt;&lt;D xsi:type="xsd:double"&gt;16.9321673182168&lt;/D&gt;&lt;D xsi:type="xsd:double"&gt;16.7536984122373&lt;/D&gt;&lt;D xsi:type="xsd:double"&gt;16.5277323108735&lt;/D&gt;&lt;D xsi:type="xsd:double"&gt;16.5926384578476&lt;/D&gt;&lt;D xsi:type="xsd:double"&gt;17.0798827500908&lt;/D&gt;&lt;D xsi:type="xsd:double"&gt;17.1128561450649&lt;/D&gt;&lt;D xsi:type="xsd:double"&gt;16.8139458082317&lt;/D&gt;&lt;D xsi:type="xsd:double"&gt;16.3355778324138&lt;/D&gt;&lt;D xsi:type="xsd:double"&gt;15.7124256432394&lt;/D&gt;&lt;D xsi:type="xsd:double"&gt;15.765587877037&lt;/D&gt;&lt;D xsi:type="xsd:double"&gt;16.0383967476161&lt;/D&gt;&lt;D xsi:type="xsd:double"&gt;15.7355495642054&lt;/D&gt;&lt;D xsi:type="xsd:double"&gt;15.2699590687981&lt;/D&gt;&lt;D xsi:type="xsd:double"&gt;15.7103738488463&lt;/D&gt;&lt;D xsi:type="xsd:double"&gt;14.4524531575218&lt;/D&gt;&lt;D xsi:type="xsd:double"&gt;14.7104028334582&lt;/D&gt;&lt;D xsi:type="xsd:double"&gt;15.4893518217307&lt;/D&gt;&lt;D xsi:type="xsd:double"&gt;14.9109619486944&lt;/D&gt;&lt;D xsi:type="xsd:double"&gt;15.1707422780143&lt;/D&gt;&lt;D xsi:type="xsd:double"&gt;14.2956060821776&lt;/D&gt;&lt;D xsi:type="xsd:double"&gt;12.6419052917933&lt;/D&gt;&lt;D xsi:type="xsd:double"&gt;12.4339978503623&lt;/D&gt;&lt;D xsi:type="xsd:double"&gt;13.2860260255047&lt;/D&gt;&lt;D xsi:type="xsd:double"&gt;12.9303103120597&lt;/D&gt;&lt;D xsi:type="xsd:double"&gt;12.7898044804213&lt;/D&gt;&lt;D xsi:type="xsd:double"&gt;13.7279920295697&lt;/D&gt;&lt;D xsi:type="xsd:double"&gt;13.0551134392035&lt;/D&gt;&lt;D xsi:type="xsd:double"&gt;12.9932251873136&lt;/D&gt;&lt;D xsi:type="xsd:double"&gt;12.6449013192473&lt;/D&gt;&lt;D xsi:type="xsd:double"&gt;12.214193519389&lt;/D&gt;&lt;D xsi:type="xsd:double"&gt;13.4408705195062&lt;/D&gt;&lt;D xsi:type="xsd:double"&gt;13.6411627815524&lt;/D&gt;&lt;D xsi:type="xsd:double"&gt;13.7303019748018&lt;/D&gt;&lt;D xsi:type="xsd:double"&gt;14.1770762040375&lt;/D&gt;&lt;D xsi:type="xsd:double"&gt;14.584455887876&lt;/D&gt;&lt;D xsi:type="xsd:double"&gt;14.3160975597232&lt;/D&gt;&lt;D xsi:type="xsd:double"&gt;10.6931542785745&lt;/D&gt;&lt;D xsi:type="xsd:double"&gt;11.6704633129304&lt;/D&gt;&lt;D xsi:type="xsd:double"&gt;14.4602324376583&lt;/D&gt;&lt;D xsi:type="xsd:double"&gt;17.0243801136941&lt;/D&gt;&lt;D xsi:type="xsd:double"&gt;16.4451298665117&lt;/D&gt;&lt;D xsi:type="xsd:double"&gt;17.6350491988439&lt;/D&gt;&lt;D xsi:type="xsd:double"&gt;15.1787519290358&lt;/D&gt;&lt;D xsi:type="xsd:double"&gt;14.7483638754894&lt;/D&gt;&lt;D xsi:type="xsd:double"&gt;15.5087506593603&lt;/D&gt;&lt;D xsi:type="xsd:double"&gt;15.325074877776&lt;/D&gt;&lt;D xsi:type="xsd:double"&gt;15.0889021111221&lt;/D&gt;&lt;D xsi:type="xsd:double"&gt;14.4424635720672&lt;/D&gt;&lt;D xsi:type="xsd:double"&gt;14.8225353621038&lt;/D&gt;&lt;D xsi:type="xsd:double"&gt;15.042793628475&lt;/D&gt;&lt;D xsi:type="xsd:double"&gt;14.8867278499598&lt;/D&gt;&lt;D xsi:type="xsd:double"&gt;15.0939013027873&lt;/D&gt;&lt;D xsi:type="xsd:double"&gt;14.1530817684767&lt;/D&gt;&lt;D xsi:type="xsd:double"&gt;14.3718785324278&lt;/D&gt;&lt;D xsi:type="xsd:double"&gt;13.9744879910178&lt;/D&gt;&lt;D xsi:type="xsd:double"&gt;14.1080645527927&lt;/D&gt;&lt;D xsi:type="xsd:double"&gt;13.3361355546726&lt;/D&gt;&lt;D xsi:type="xsd:double"&gt;13.657026218124&lt;/D&gt;&lt;D xsi:type="xsd:double"&gt;13.649014604919&lt;/D&gt;&lt;D xsi:type="xsd:double"&gt;13.4403427058827&lt;/D&gt;&lt;D xsi:type="xsd:double"&gt;14.0954079630716&lt;/D&gt;&lt;D xsi:type="xsd:double"&gt;13.8209516251673&lt;/D&gt;&lt;D xsi:type="xsd:double"&gt;12.7013352597377&lt;/D&gt;&lt;D xsi:type="xsd:double"&gt;11.5797363470021&lt;/D&gt;&lt;D xsi:type="xsd:double"&gt;11.5420425599916&lt;/D&gt;&lt;D xsi:type="xsd:double"&gt;11.8300900069314&lt;/D&gt;&lt;D xsi:type="xsd:double"&gt;11.3716509179196&lt;/D&gt;&lt;D xsi:type="xsd:double"&gt;11.6061887091257&lt;/D&gt;&lt;D xsi:type="xsd:double"&gt;12.6010927321099&lt;/D&gt;&lt;D xsi:type="xsd:double"&gt;12.0772445430745&lt;/D&gt;&lt;D xsi:type="xsd:double"&gt;12.7429535651965&lt;/D&gt;&lt;D xsi:type="xsd:double"&gt;12.8358610190574&lt;/D&gt;&lt;D xsi:type="xsd:double"&gt;12.2692559633194&lt;/D&gt;&lt;D xsi:type="xsd:double"&gt;12.5524377441651&lt;/D&gt;&lt;D xsi:type="xsd:double"&gt;12.2020856085236&lt;/D&gt;&lt;D xsi:type="xsd:double"&gt;12.0537663321798&lt;/D&gt;&lt;D xsi:type="xsd:double"&gt;11.8413715968949&lt;/D&gt;&lt;D xsi:type="xsd:double"&gt;11.7339528778987&lt;/D&gt;&lt;D xsi:type="xsd:double"&gt;11.6017231526426&lt;/D&gt;&lt;D xsi:type="xsd:double"&gt;10.9446683422661&lt;/D&gt;&lt;D xsi:type="xsd:double"&gt;11.9324391263724&lt;/D&gt;&lt;D xsi:type="xsd:double"&gt;13.0805231324366&lt;/D&gt;&lt;D xsi:type="xsd:double"&gt;12.4550431166092&lt;/D&gt;&lt;D xsi:type="xsd:double"&gt;12.861278374057&lt;/D&gt;&lt;D xsi:type="xsd:double"&gt;12.337022065833&lt;/D&gt;&lt;D xsi:type="xsd:double"&gt;12.2807086331099&lt;/D&gt;&lt;D xsi:type="xsd:double"&gt;12.6326686132167&lt;/D&gt;&lt;D xsi:type="xsd:double"&gt;11.4483570234512&lt;/D&gt;&lt;D xsi:type="xsd:double"&gt;11.4817905821399&lt;/D&gt;&lt;/FQL&gt;&lt;FQL&gt;&lt;Q&gt;EWY^FMA_PE(LTMA,-10AY,0,AM,"PORTAGG","MEANR")&lt;/Q&gt;&lt;R&gt;121&lt;/R&gt;&lt;C&gt;1&lt;/C&gt;&lt;D xsi:type="xsd:double"&gt;11.3425931785643&lt;/D&gt;&lt;D xsi:type="xsd:double"&gt;11.6470257680185&lt;/D&gt;&lt;D xsi:type="xsd:double"&gt;11.6400399625984&lt;/D&gt;&lt;D xsi:type="xsd:double"&gt;10.8848598806712&lt;/D&gt;&lt;D xsi:type="xsd:double"&gt;11.5830107119399&lt;/D&gt;&lt;D xsi:type="xsd:double"&gt;11.5232364733354&lt;/D&gt;&lt;D xsi:type="xsd:double"&gt;11.2287231215788&lt;/D&gt;&lt;D xsi:type="xsd:double"&gt;12.2930934275058&lt;/D&gt;&lt;D xsi:type="xsd:double"&gt;12.1958561291891&lt;/D&gt;&lt;D xsi:type="xsd:double"&gt;12.0893021649244&lt;/D&gt;&lt;D xsi:type="xsd:double"&gt;11.744554643566&lt;/D&gt;&lt;D xsi:type="xsd:double"&gt;11.346596705363&lt;/D&gt;&lt;D xsi:type="xsd:double"&gt;11.1801608042134&lt;/D&gt;&lt;D xsi:type="xsd:double"&gt;10.8808115731033&lt;/D&gt;&lt;D xsi:type="xsd:double"&gt;10.8917606567693&lt;/D&gt;&lt;D xsi:type="xsd:double"&gt;11.1168712537755&lt;/D&gt;&lt;D xsi:type="xsd:double"&gt;11.1506531185681&lt;/D&gt;&lt;D xsi:type="xsd:double"&gt;10.5503683235593&lt;/D&gt;&lt;D xsi:type="xsd:double"&gt;9.69712645750266&lt;/D&gt;&lt;D xsi:type="xsd:double"&gt;10.5836046693152&lt;/D&gt;&lt;D xsi:type="xsd:double"&gt;10.6499859352216&lt;/D&gt;&lt;D xsi:type="xsd:double"&gt;10.6906875008955&lt;/D&gt;&lt;D xsi:type="xsd:double"&gt;10.4057252559808&lt;/D&gt;&lt;D xsi:type="xsd:double"&gt;10.4069587752405&lt;/D&gt;&lt;D xsi:type="xsd:double"&gt;10.5834152655075&lt;/D&gt;&lt;D xsi:type="xsd:double"&gt;10.6567059421116&lt;/D&gt;&lt;D xsi:type="xsd:double"&gt;10.6017166629655&lt;/D&gt;&lt;D xsi:type="xsd:double"&gt;10.8295739342208&lt;/D&gt;&lt;D xsi:type="xsd:double"&gt;10.6281636558318&lt;/D&gt;&lt;D xsi:type="xsd:double"&gt;11.1321134777788&lt;/D&gt;&lt;D xsi:type="xsd:double"&gt;11.2738964597655&lt;/D&gt;&lt;D xsi:type="xsd:double"&gt;11.6768504197092&lt;/D&gt;&lt;D xsi:type="xsd:double"&gt;11.6192891436079&lt;/D&gt;&lt;D xsi:type="xsd:double"&gt;11.2200925322717&lt;/D&gt;&lt;D xsi:type="xsd:double"&gt;11.1240880855923&lt;/D&gt;&lt;D xsi:type="xsd:double"&gt;11.0141922914106&lt;/D&gt;&lt;D xsi:type="xsd:double"&gt;10.9446431701456&lt;/D&gt;&lt;D xsi:type="xsd:double"&gt;10.4746548487913&lt;/D&gt;&lt;D xsi:type="xsd:double"&gt;10.4973415841372&lt;/D&gt;&lt;D xsi:type="xsd:double"&gt;10.5570837653687&lt;/D&gt;&lt;D xsi:type="xsd:double"&gt;10.453858418378&lt;/D&gt;&lt;D xsi:type="xsd:double"&gt;10.2103199664963&lt;/D&gt;&lt;D xsi:type="xsd:double"&gt;10.4065225260246&lt;/D&gt;&lt;D xsi:type="xsd:double"&gt;10.5379243184531&lt;/D&gt;&lt;D xsi:type="xsd:double"&gt;10.5090126289238&lt;/D&gt;&lt;D xsi:type="xsd:double"&gt;10.383214258047&lt;/D&gt;&lt;D xsi:type="xsd:double"&gt;10.167126880683&lt;/D&gt;&lt;D xsi:type="xsd:double"&gt;9.8952951414833&lt;/D&gt;&lt;D xsi:type="xsd:double"&gt;9.64603278634241&lt;/D&gt;&lt;D xsi:type="xsd:double"&gt;9.34879450851339&lt;/D&gt;&lt;D xsi:type="xsd:double"&gt;9.3483393847111&lt;/D&gt;&lt;D xsi:type="xsd:double"&gt;8.78911723463391&lt;/D&gt;&lt;D xsi:type="xsd:double"&gt;8.54132892245509&lt;/D&gt;&lt;D xsi:type="xsd:double"&gt;8.39032439611586&lt;/D&gt;&lt;D xsi:type="xsd:double"&gt;8.76087938706286&lt;/D&gt;&lt;D xsi:type="xsd:double"&gt;9.87417030263923&lt;/D&gt;&lt;D xsi:type="xsd:double"&gt;10.1023166693526&lt;/D&gt;&lt;D xsi:type="xsd:double"&gt;10.4324010813236&lt;/D&gt;&lt;D xsi:type="xsd:double"&gt;10.3983212490772&lt;/D&gt;&lt;D xsi:type="xsd:double"&gt;10.8883457840647&lt;/D&gt;&lt;D xsi:type="xsd:double"&gt;11.3152728863067&lt;/D&gt;&lt;D xsi:type="xsd:double"&gt;11.2220054166696&lt;/D&gt;&lt;D xsi:type="xsd:double"&gt;12.0119624492853&lt;/D&gt;&lt;D xsi:type="xsd:double"&gt;12.3203838806772&lt;/D&gt;&lt;D xsi:type="xsd:double"&gt;13.7558558970687&lt;/D&gt;&lt;D xsi:type="xsd:double"&gt;14.4819032869182&lt;/D&gt;&lt;D xsi:type="xsd:double"&gt;15.0578067545039&lt;/D&gt;&lt;D xsi:type="xsd:double"&gt;16.5793913352216&lt;/D&gt;&lt;D xsi:type="xsd:double"&gt;14.3656617998592&lt;/D&gt;&lt;D xsi:type="xsd:double"&gt;14.8113206459298&lt;/D&gt;&lt;D xsi:type="xsd:double"&gt;15.077672607633&lt;/D&gt;&lt;D xsi:type="xsd:double"&gt;15.4665516078184&lt;/D&gt;&lt;D xsi:type="xsd:double"&gt;15.6303146812546&lt;/D&gt;&lt;D xsi:type="xsd:double"&gt;16.2397266616711&lt;/D&gt;&lt;D xsi:type="xsd:double"&gt;16.4272851197787&lt;/D&gt;&lt;D xsi:type="xsd:double"&gt;15.999203560913&lt;/D&gt;&lt;D xsi:type="xsd:double"&gt;17.0802583154224&lt;/D&gt;&lt;D xsi:type="xsd:double"&gt;18.8079072720816&lt;/D&gt;&lt;D xsi:type="xsd:double"&gt;21.3965696020669&lt;/D&gt;&lt;D xsi:type="xsd:double"&gt;21.358313202385&lt;/D&gt;&lt;D xsi:type="xsd:double"&gt;20.108523786932&lt;/D&gt;&lt;D xsi:type="xsd:double"&gt;19.4646093673024&lt;/D&gt;&lt;D xsi:type="xsd:double"&gt;17.8606100856477&lt;/D&gt;&lt;D xsi:type="xsd:double"&gt;17.0530318927147&lt;/D&gt;&lt;D xsi:type="xsd:double"&gt;15.9582661466662&lt;/D&gt;&lt;D xsi:type="xsd:double"&gt;14.4171921363622&lt;/D&gt;&lt;D xsi:type="xsd:double"&gt;13.575190234192&lt;/D&gt;&lt;D xsi:type="xsd:double"&gt;12.2588345210284&lt;/D&gt;&lt;D xsi:type="xsd:double"&gt;10.9369160595857&lt;/D&gt;&lt;D xsi:type="xsd:double"&gt;10.1449715164848&lt;/D&gt;&lt;D xsi:type="xsd:double"&gt;9.29449445742828&lt;/D&gt;&lt;D xsi:type="xsd:double"&gt;9.43132869159129&lt;/D&gt;&lt;D xsi:type="xsd:double"&gt;9.34108443417134&lt;/D&gt;&lt;D xsi:type="xsd:double"&gt;9.35743190596574&lt;/D&gt;&lt;D xsi:type="xsd:double"&gt;9.20758639327991&lt;/D&gt;&lt;D xsi:type="xsd:double"&gt;8.9566320390826&lt;/D&gt;&lt;D xsi:type="xsd:double"&gt;8.96381022068531&lt;/D&gt;&lt;D xsi:type="xsd:double"&gt;9.09394458559657&lt;/D&gt;&lt;D xsi:type="xsd:double"&gt;8.73605833591166&lt;/D&gt;&lt;D xsi:type="xsd:double"&gt;8.76627067654826&lt;/D&gt;&lt;D xsi:type="xsd:double"&gt;9.90019292475945&lt;/D&gt;&lt;D xsi:type="xsd:double"&gt;9.75984888726373&lt;/D&gt;&lt;D xsi:type="xsd:double"&gt;10.3216058928925&lt;/D&gt;&lt;D xsi:type="xsd:double"&gt;10.9601398810318&lt;/D&gt;&lt;D xsi:type="xsd:double"&gt;11.2625443342494&lt;/D&gt;&lt;D xsi:type="xsd:double"&gt;12.2187542827717&lt;/D&gt;&lt;D xsi:type="xsd:double"&gt;12.3412945629701&lt;/D&gt;&lt;D xsi:type="xsd:double"&gt;12.6527430301569&lt;/D&gt;&lt;D xsi:type="xsd:double"&gt;13.0119084584946&lt;/D&gt;&lt;D xsi:type="xsd:double"&gt;12.9187902066527&lt;/D&gt;&lt;D xsi:type="xsd:double"&gt;13.7887922157642&lt;/D&gt;&lt;D xsi:type="xsd:double"&gt;13.5542411828544&lt;/D&gt;&lt;D xsi:type="xsd:double"&gt;14.1573551125299&lt;/D&gt;&lt;D xsi:type="xsd:double"&gt;14.9867309080448&lt;/D&gt;&lt;D xsi:type="xsd:double"&gt;14.6743468014333&lt;/D&gt;&lt;D xsi:type="xsd:double"&gt;16.7339347977934&lt;/D&gt;&lt;D xsi:type="xsd:double"&gt;16.0847059504883&lt;/D&gt;&lt;D xsi:type="xsd:double"&gt;15.4097231365457&lt;/D&gt;&lt;D xsi:type="xsd:double"&gt;14.9457568940308&lt;/D&gt;&lt;D xsi:type="xsd:double"&gt;14.371722437989&lt;/D&gt;&lt;D xsi:type="xsd:double"&gt;13.8442548004714&lt;/D&gt;&lt;/FQL&gt;&lt;FQL&gt;&lt;Q&gt;NI-FDS^FG_PRICE_CHANGE(0,-3AM)&lt;/Q&gt;&lt;R&gt;1&lt;/R&gt;&lt;C&gt;1&lt;/C&gt;&lt;D xsi:type="xsd:double"&gt;-15.4371226043581&lt;/D&gt;&lt;/FQL&gt;&lt;FQL&gt;&lt;Q&gt;W-FDS^MAX(FG_PRICE(0,-5AY))&lt;/Q&gt;&lt;R&gt;1&lt;/R&gt;&lt;C&gt;1&lt;/C&gt;&lt;D xsi:type="xsd:double"&gt;14.2525&lt;/D&gt;&lt;/FQL&gt;&lt;FQL&gt;&lt;Q&gt;EWZ^FG_PRICE_MAVG(0,,,,60)&lt;/Q&gt;&lt;R&gt;1&lt;/R&gt;&lt;C&gt;1&lt;/C&gt;&lt;D xsi:type="xsd:double"&gt;29.592&lt;/D&gt;&lt;/FQL&gt;&lt;FQL&gt;&lt;Q&gt;SET-BKK^FG_TOTAL_RETURNC(0,-12AM)&lt;/Q&gt;&lt;R&gt;1&lt;/R&gt;&lt;C&gt;1&lt;/C&gt;&lt;D xsi:type="xsd:double"&gt;-14.284414&lt;/D&gt;&lt;/FQL&gt;&lt;FQL&gt;&lt;Q&gt;MCHI^P_PRICE(0)/P_PRICE_HIGH_PR(0,,,,,,"PRICE","INTRA","52W")&lt;/Q&gt;&lt;R&gt;1&lt;/R&gt;&lt;C&gt;1&lt;/C&gt;&lt;D xsi:type="xsd:double"&gt;0.84140974&lt;/D&gt;&lt;/FQL&gt;&lt;FQL&gt;&lt;Q&gt;EWW^PERCENT_CHANGE(FMA_EPS(+1,0,,,,"PORTAGG","MEAN"),FMA_EPS(+1,-3AM,,,,"PORTAGG","MEAN"))&lt;/Q&gt;&lt;R&gt;1&lt;/R&gt;&lt;C&gt;1&lt;/C&gt;&lt;D xsi:type="xsd:double"&gt;-4.08923341179319&lt;/D&gt;&lt;/FQL&gt;&lt;FQL&gt;&lt;Q&gt;EWM^PERCENT_CHANGE(FMA_EPS(+1,0,,,,"PORTAGG","MEAN"),FMA_EPS(+1,-1AM,,,,"PORTAGG","MEAN"))&lt;/Q&gt;&lt;R&gt;1&lt;/R&gt;&lt;C&gt;1&lt;/C&gt;&lt;D xsi:type="xsd:double"&gt;-0.385720310649715&lt;/D&gt;&lt;/FQL&gt;&lt;FQL&gt;&lt;Q&gt;ECH^P_PRICE(0)/P_PRICE_LOW_PR(0,,,,,,"PRICE","INTRA","52W")-1&lt;/Q&gt;&lt;R&gt;1&lt;/R&gt;&lt;C&gt;1&lt;/C&gt;&lt;D xsi:type="xsd:double"&gt;0.1085763&lt;/D&gt;&lt;/FQL&gt;&lt;FQL&gt;&lt;Q&gt;SPY^P_PRICE(0)/P_PRICE_HIGH_PR(0,,,,,,"PRICE","INTRA","52W")&lt;/Q&gt;&lt;R&gt;1&lt;/R&gt;&lt;C&gt;</t>
        </r>
      </text>
    </comment>
    <comment ref="A20" authorId="0" shapeId="0" xr:uid="{B296DC7C-8016-4F10-8B00-D2455875EFE9}">
      <text>
        <r>
          <rPr>
            <b/>
            <sz val="9"/>
            <color indexed="81"/>
            <rFont val="Tahoma"/>
            <charset val="1"/>
          </rPr>
          <t>1&lt;/C&gt;&lt;D xsi:type="xsd:double"&gt;0.97138864&lt;/D&gt;&lt;/FQL&gt;&lt;FQL&gt;&lt;Q&gt;VGK^FG_TOTAL_RETURNC(0,-3AM)&lt;/Q&gt;&lt;R&gt;1&lt;/R&gt;&lt;C&gt;1&lt;/C&gt;&lt;D xsi:type="xsd:double"&gt;6.232345&lt;/D&gt;&lt;/FQL&gt;&lt;FQL&gt;&lt;Q&gt;SPY^FMA_COS_UP("EPS","1M",+1,NOW,,,"PORTAGG","MEANR")&lt;/Q&gt;&lt;R&gt;1&lt;/R&gt;&lt;C&gt;1&lt;/C&gt;&lt;D xsi:type="xsd:double"&gt;170&lt;/D&gt;&lt;/FQL&gt;&lt;FQL&gt;&lt;Q&gt;GREK^SIZE(FG_CONSTITUENTS)&lt;/Q&gt;&lt;R&gt;1&lt;/R&gt;&lt;C&gt;1&lt;/C&gt;&lt;D xsi:type="xsd:long"&gt;32&lt;/D&gt;&lt;/FQL&gt;&lt;FQL&gt;&lt;Q&gt;CNYA^FMA_COS_DOWN("EPS","1M",+1,NOW,,,"PORTAGG","MEANR")&lt;/Q&gt;&lt;R&gt;1&lt;/R&gt;&lt;C&gt;1&lt;/C&gt;&lt;D xsi:type="xsd:double"&gt;144&lt;/D&gt;&lt;/FQL&gt;&lt;FQL&gt;&lt;Q&gt;EPOL^FMA_RBICS_REV_CURRENT(30, LOC, "PORTAGG")&lt;/Q&gt;&lt;R&gt;1&lt;/R&gt;&lt;C&gt;1&lt;/C&gt;&lt;D xsi:type="xsd:double"&gt;48.644387828237&lt;/D&gt;&lt;/FQL&gt;&lt;FQL&gt;&lt;Q&gt;TRYGR10Y-FDS^FG_YIELD_NAME&lt;/Q&gt;&lt;R&gt;1&lt;/R&gt;&lt;C&gt;1&lt;/C&gt;&lt;D xsi:type="xsd:string"&gt;Greece Benchmark Bond - 10 Year&lt;/D&gt;&lt;/FQL&gt;&lt;FQL&gt;&lt;Q&gt;REFVNDISC-FDS^FG_YIELD(NOW,,,0)&lt;/Q&gt;&lt;R&gt;1&lt;/R&gt;&lt;C&gt;1&lt;/C&gt;&lt;D xsi:type="xsd:double"&gt;3&lt;/D&gt;&lt;/FQL&gt;&lt;FQL&gt;&lt;Q&gt;REFINREPO-FDS^(SUBARRAY(NOT_NA(NO_REPEAT_F(FG_YIELD(NOW,-10AY,D))),0,1)-SUBARRAY(NOT_NA(NO_REPEAT_F(FG_YIELD(NOW,-10AY,D))),1,1))*100&lt;/Q&gt;&lt;R&gt;1&lt;/R&gt;&lt;C&gt;1&lt;/C&gt;&lt;D xsi:type="xsd:double"&gt;25&lt;/D&gt;&lt;/FQL&gt;&lt;FQL&gt;&lt;Q&gt;REFMXTON-FDS^PROPER_NAME(0,,,"SECURITY","NAME")&lt;/Q&gt;&lt;R&gt;1&lt;/R&gt;&lt;C&gt;1&lt;/C&gt;&lt;D xsi:type="xsd:string"&gt;Mexico Target Rate - Overnight&lt;/D&gt;&lt;/FQL&gt;&lt;FQL&gt;&lt;Q&gt;REFIDRREPO-FDS^FG_YIELD(NOW,,,0)&lt;/Q&gt;&lt;R&gt;1&lt;/R&gt;&lt;C&gt;1&lt;/C&gt;&lt;D xsi:type="xsd:double"&gt;6.25&lt;/D&gt;&lt;/FQL&gt;&lt;FQL&gt;&lt;Q&gt;TRYTH10Y-FDS^PCTCHG(FG_YIELD(0,,,,"YTM"),FG_YIELD(-1AM,,,,"YTM"))&lt;/Q&gt;&lt;R&gt;1&lt;/R&gt;&lt;C&gt;1&lt;/C&gt;&lt;D xsi:type="xsd:double"&gt;-5.9127817&lt;/D&gt;&lt;/FQL&gt;&lt;FQL&gt;&lt;Q&gt;TRYTW10Y-FDS^PCTCHG(FG_YIELD(0,,,,"YTM"),FG_YIELD(-3AM,,,,"YTM"))&lt;/Q&gt;&lt;R&gt;1&lt;/R&gt;&lt;C&gt;1&lt;/C&gt;&lt;D xsi:type="xsd:double"&gt;-0.47961727&lt;/D&gt;&lt;/FQL&gt;&lt;FQL&gt;&lt;Q&gt;TRYUS10Y-FDS^FG_YIELD_NAME&lt;/Q&gt;&lt;R&gt;1&lt;/R&gt;&lt;C&gt;1&lt;/C&gt;&lt;D xsi:type="xsd:string"&gt;US Benchmark Bond - 10 Year&lt;/D&gt;&lt;/FQL&gt;&lt;FQL&gt;&lt;Q&gt;TRYPH10Y-FDS^FG_YIELD(0,,,,"YTM")&lt;/Q&gt;&lt;R&gt;1&lt;/R&gt;&lt;C&gt;1&lt;/C&gt;&lt;D xsi:type="xsd:double"&gt;6.265304&lt;/D&gt;&lt;/FQL&gt;&lt;FQL&gt;&lt;Q&gt;CC_ZA^IMF_IFS_RCPI_Q(0)&lt;/Q&gt;&lt;R&gt;0&lt;/R&gt;&lt;C&gt;0&lt;/C&gt;&lt;/FQL&gt;&lt;FQL&gt;&lt;Q&gt;GREK^FMA_DIV_YLD(NTMA,NOW,NOW,M,"PORTAGG","MEANR")&lt;/Q&gt;&lt;R&gt;1&lt;/R&gt;&lt;C&gt;1&lt;/C&gt;&lt;D xsi:type="xsd:double"&gt;6.13403273798959&lt;/D&gt;&lt;/FQL&gt;&lt;FQL&gt;&lt;Q&gt;EPHE^P_PRICE(0)/P_PRICE_LOW_PR(0,,,,,,"PRICE","INTRA","52W")-1&lt;/Q&gt;&lt;R&gt;1&lt;/R&gt;&lt;C&gt;1&lt;/C&gt;&lt;D xsi:type="xsd:double"&gt;0.10596883&lt;/D&gt;&lt;/FQL&gt;&lt;FQL&gt;&lt;Q&gt;MCHI^FG_TOTAL_RETURNC(0,-1AM)&lt;/Q&gt;&lt;R&gt;1&lt;/R&gt;&lt;C&gt;1&lt;/C&gt;&lt;D xsi:type="xsd:double"&gt;-3.468871&lt;/D&gt;&lt;/FQL&gt;&lt;FQL&gt;&lt;Q&gt;USDTHB^STD(FG_PRICE_CHANGE(0,-3AY,M))&lt;/Q&gt;&lt;R&gt;1&lt;/R&gt;&lt;C&gt;1&lt;/C&gt;&lt;D xsi:type="xsd:double"&gt;2.97821615556812&lt;/D&gt;&lt;/FQL&gt;&lt;FQL&gt;&lt;Q&gt;USDEUR^STD(FG_PRICE_CHANGE(0,-3AY,M))&lt;/Q&gt;&lt;R&gt;1&lt;/R&gt;&lt;C&gt;1&lt;/C&gt;&lt;D xsi:type="xsd:double"&gt;2.13396080606637&lt;/D&gt;&lt;/FQL&gt;&lt;FQL&gt;&lt;Q&gt;USDKRW^FG_PRICE_CHANGE(0,-6AM)&lt;/Q&gt;&lt;R&gt;1&lt;/R&gt;&lt;C&gt;1&lt;/C&gt;&lt;D xsi:type="xsd:double"&gt;3.5698295&lt;/D&gt;&lt;/FQL&gt;&lt;FQL&gt;&lt;Q&gt;USDPEN^STD(FG_PRICE_CHANGE(0,-3AY,M))&lt;/Q&gt;&lt;R&gt;1&lt;/R&gt;&lt;C&gt;1&lt;/C&gt;&lt;D xsi:type="xsd:double"&gt;2.39719791107599&lt;/D&gt;&lt;/FQL&gt;&lt;FQL&gt;&lt;Q&gt;USDIDR^FG_PRICE_CHANGE(0,-1AY)&lt;/Q&gt;&lt;R&gt;1&lt;/R&gt;&lt;C&gt;1&lt;/C&gt;&lt;D xsi:type="xsd:double"&gt;7.96932&lt;/D&gt;&lt;/FQL&gt;&lt;FQL&gt;&lt;Q&gt;EWZ^P_PRICE_RETURNS_PR('52W',2,-10AY,0,AM)&lt;/Q&gt;&lt;R&gt;121&lt;/R&gt;&lt;C&gt;1&lt;/C&gt;&lt;D xsi:type="xsd:double"&gt;17.600441&lt;/D&gt;&lt;D xsi:type="xsd:double"&gt;23.987293&lt;/D&gt;&lt;D xsi:type="xsd:double"&gt;-0.41501522&lt;/D&gt;&lt;D xsi:type="xsd:double"&gt;-8.476991&lt;/D&gt;&lt;D xsi:type="xsd:double"&gt;-12.613541&lt;/D&gt;&lt;D xsi:type="xsd:double"&gt;-15.641803&lt;/D&gt;&lt;D xsi:type="xsd:double"&gt;-10.568523&lt;/D&gt;&lt;D xsi:type="xsd:double"&gt;-9.238076&lt;/D&gt;&lt;D xsi:type="xsd:double"&gt;-23.03974&lt;/D&gt;&lt;D xsi:type="xsd:double"&gt;-24.95625&lt;/D&gt;&lt;D xsi:type="xsd:double"&gt;-24.922007&lt;/D&gt;&lt;D xsi:type="xsd:double"&gt;-29.463928&lt;/D&gt;&lt;D xsi:type="xsd:double"&gt;-33.23519&lt;/D&gt;&lt;D xsi:type="xsd:double"&gt;-47.928493&lt;/D&gt;&lt;D xsi:type="xsd:double"&gt;-51.55533&lt;/D&gt;&lt;D xsi:type="xsd:double"&gt;-46.14455&lt;/D&gt;&lt;D xsi:type="xsd:double"&gt;-36.688942&lt;/D&gt;&lt;D xsi:type="xsd:double"&gt;-39.361084&lt;/D&gt;&lt;D xsi:type="xsd:double"&gt;-48.856037&lt;/D&gt;&lt;D xsi:type="xsd:double"&gt;-41.658848&lt;/D&gt;&lt;D xsi:type="xsd:double"&gt;-11.9060335&lt;/D&gt;&lt;D xsi:type="xsd:double"&gt;-14.000577&lt;/D&gt;&lt;D xsi:type="xsd:double"&gt;-23.24425&lt;/D&gt;&lt;D xsi:type="xsd:double"&gt;-16.662848&lt;/D&gt;&lt;D xsi:type="xsd:double"&gt;5.7543993&lt;/D&gt;&lt;D xsi:type="xsd:double"&gt;36.45433&lt;/D&gt;&lt;D xsi:type="xsd:double"&gt;46.919968&lt;/D&gt;&lt;D xsi:type="xsd:double"&gt;61.227764&lt;/D&gt;&lt;D xsi:type="xsd:double"&gt;34.937393&lt;/D&gt;&lt;D xsi:type="xsd:double"&gt;49.35714&lt;/D&gt;&lt;D xsi:type="xsd:double"&gt;102.19021&lt;/D&gt;&lt;D xsi:type="xsd:double"&gt;98.0804&lt;/D&gt;&lt;D xsi:type="xsd:double"&gt;43.597244&lt;/D&gt;&lt;D xsi:type="xsd:double"&gt;29.018139&lt;/D&gt;&lt;D xsi:type="xsd:double"&gt;34.689022&lt;/D&gt;&lt;D xsi:type="xsd:double"&gt;27.560257&lt;/D&gt;&lt;D xsi:type="xsd:double"&gt;15.8804655&lt;/D&gt;&lt;D xsi:type="xsd:double"&gt;16.13146&lt;/D&gt;&lt;D xsi:type="xsd:double"&gt;34.141685&lt;/D&gt;&lt;D xsi:type="xsd:double"&gt;16.44696&lt;/D&gt;&lt;D xsi:type="xsd:double"&gt;25.61227&lt;/D&gt;&lt;D xsi:type="xsd:double"&gt;28.459347&lt;/D&gt;&lt;D xsi:type="xsd:double"&gt;25.446774&lt;/D&gt;&lt;D xsi:type="xsd:double"&gt;17.863035&lt;/D&gt;&lt;D xsi:type="xsd:double"&gt;21.001171&lt;/D&gt;&lt;D xsi:type="xsd:double"&gt;21.87935&lt;/D&gt;&lt;D xsi:type="xsd:double"&gt;19.192183&lt;/D&gt;&lt;D xsi:type="xsd:double"&gt;-1.2258172&lt;/D&gt;&lt;D xsi:type="xsd:double"&gt;-4.5670033&lt;/D&gt;&lt;D xsi:type="xsd:double"&gt;-10.567152&lt;/D&gt;&lt;D xsi:type="xsd:double"&gt;-22.408443&lt;/D&gt;&lt;D xsi:type="xsd:double"&gt;-5.8710933&lt;/D&gt;&lt;D xsi:type="xsd:double"&gt;2.9143333&lt;/D&gt;&lt;D xsi:type="xsd:double"&gt;-1.7075479&lt;/D&gt;&lt;D xsi:type="xsd:double"&gt;1.3889909&lt;/D&gt;&lt;D xsi:type="xsd:double"&gt;0.023579597&lt;/D&gt;&lt;D xsi:type="xsd:double"&gt;3.5228133&lt;/D&gt;&lt;D xsi:type="xsd:double"&gt;-4.7817826&lt;/D&gt;&lt;D xsi:type="xsd:double"&gt;-2.3449957&lt;/D&gt;&lt;D xsi:type="xsd:double"&gt;36.06435&lt;/D&gt;&lt;D xsi:type="xsd:double"&gt;37.150455&lt;/D&gt;&lt;D xsi:type="xsd:double"&gt;25.896622&lt;/D&gt;&lt;D xsi:type="xsd:double"&gt;32.497276&lt;/D&gt;&lt;D xsi:type="xsd:double"&gt;13.022685&lt;/D&gt;&lt;D xsi:type="xsd:double"&gt;8.202505&lt;/D&gt;&lt;D xsi:type="xsd:double"&gt;29.412483&lt;/D&gt;&lt;D xsi:type="xsd:double"&gt;11.702574&lt;/D&gt;&lt;D xsi:type="xsd:double"&gt;2.2096276&lt;/D&gt;&lt;D xsi:type="xsd:double"&gt;-48.557926&lt;/D&gt;&lt;D xsi:type="xsd:double"&gt;-35.25983&lt;/D&gt;&lt;D xsi:type="xsd:double"&gt;-34.93287&lt;/D&gt;&lt;D xsi:type="xsd:double"&gt;-29.553963&lt;/D&gt;&lt;D xsi:type="xsd:double"&gt;-29.981548&lt;/D&gt;&lt;D xsi:type="xsd:double"&gt;-24.76762&lt;/D&gt;&lt;D xsi:type="xsd:double"&gt;-28.172165&lt;/D&gt;&lt;D xsi:type="xsd:double"&gt;-30.07788&lt;/D&gt;&lt;D xsi:type="xsd:double"&gt;-19.523949&lt;/D&gt;&lt;D xsi:type="xsd:double"&gt;-16.591364&lt;/D&gt;&lt;D xsi:type="xsd:double"&gt;-20.002132&lt;/D&gt;&lt;D xsi:type="xsd:double"&gt;-17.13236&lt;/D&gt;&lt;D xsi:type="xsd:double"&gt;57.337093&lt;/D&gt;&lt;D xsi:type="xsd:double"&gt;42.56463&lt;/D&gt;&lt;D xsi:type="xsd:double"&gt;63.293137&lt;/D&gt;&lt;D xsi:type="xsd:double"&gt;39.690758&lt;/D&gt;&lt;D xsi:type="xsd:double"&gt;23.491049&lt;/D&gt;&lt;D xsi:type="xsd:double"&gt;18.10521&lt;/D&gt;&lt;D xsi:type="xsd:double"&gt;9.086334&lt;/D&gt;&lt;D xsi:type="xsd:double"&gt;11.267638&lt;/D&gt;&lt;D xsi:type="xsd:double"&gt;-9.321011&lt;/D&gt;&lt;D xsi:type="xsd:double"&gt;-18.898499&lt;/D&gt;&lt;D xsi:type="xsd:double"&gt;-10.975432&lt;/D&gt;&lt;D xsi:type="xsd:double"&gt;1.0804534&lt;/D&gt;&lt;D xsi:type="xsd:double"&gt;13.234865&lt;/D&gt;&lt;D xsi:type="xsd:double"&gt;15.164125&lt;/D&gt;&lt;D xsi:type="xsd:double"&gt;-4.3861923&lt;/D&gt;&lt;D xsi:type="xsd:double"&gt;-21.845795&lt;/D&gt;&lt;D xsi:type="xsd:double"&gt;-21.751331&lt;/D&gt;&lt;D xsi:type="xsd:double"&gt;1.9624233&lt;/D&gt;&lt;D xsi:type="xsd:double"&gt;5.8527827&lt;/D&gt;&lt;D xsi:type="xsd:double"&gt;15.846825&lt;/D&gt;&lt;D xsi:type="xsd:double"&gt;13.96203&lt;/D&gt;&lt;D xsi:type="xsd:double"&gt;7.3506236&lt;/D&gt;&lt;D xsi:type="xsd:double"&gt;11.358822&lt;/D&gt;&lt;D xsi:type="xsd:double"&gt;-1.7037749&lt;/D&gt;&lt;D xsi:type="xsd:double"&gt;-12.050104&lt;/D&gt;&lt;D xsi:type="xsd:double"&gt;-15.782827&lt;/D&gt;&lt;D xsi:type="xsd:double"&gt;2.6884317&lt;/D&gt;&lt;D xsi:type="xsd:double"&gt;26.068401&lt;/D&gt;&lt;D xsi:type="xsd:double"&gt;35.508026&lt;/D&gt;&lt;D xsi:type="xsd:double"&gt;5.7021976&lt;/D&gt;&lt;D xsi:type="xsd:double"&gt;12.986183&lt;/D&gt;&lt;D xsi:type="xsd:double"&gt;2.8238297&lt;/D&gt;&lt;D xsi:type="xsd:double"&gt;25.270403&lt;/D&gt;&lt;D xsi:type="xsd:double"&gt;36.427414&lt;/D&gt;&lt;D xsi:type="xsd:double"&gt;18.52833&lt;/D&gt;&lt;D xsi:type="xsd:double"&gt;22.726261&lt;/D&gt;&lt;D xsi:type="xsd:double"&gt;29.095448&lt;/D&gt;&lt;D xsi:type="xsd:double"&gt;17.511213&lt;/D&gt;&lt;D xsi:type="xsd:double"&gt;12.387657&lt;/D&gt;&lt;D xsi:type="xsd:double"&gt;-10.400325&lt;/D&gt;&lt;D xsi:type="xsd:double"&gt;-7.144201&lt;/D&gt;&lt;/FQL&gt;&lt;FQL&gt;&lt;Q&gt;EWW^FMA_DIV_YLD(NTMA,-10AY,0,AM,"PORTAGG","MEANR")&lt;/Q&gt;&lt;R&gt;121&lt;/R&gt;&lt;C&gt;1&lt;/C&gt;&lt;D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xsi:type="xsd:double"&gt;2.23901330810418&lt;/D&gt;&lt;D xsi:type="xsd:double"&gt;2.1513540350778&lt;/D&gt;&lt;D xsi:type="xsd:double"&gt;2.08036202878744&lt;/D&gt;&lt;D xsi:type="xsd:double"&gt;2.02485995766357&lt;/D&gt;&lt;D xsi:type="xsd:double"&gt;2.11878212841998&lt;/D&gt;&lt;D xsi:type="xsd:double"&gt;2.1370522691691&lt;/D&gt;&lt;D xsi:type="xsd:double"&gt;2.04606742620282&lt;/D&gt;&lt;D xsi:type="xsd:double"&gt;2.03927621421785&lt;/D&gt;&lt;D xsi:type="xsd:double"&gt;2.13013295387633&lt;/D&gt;&lt;D xsi:type="xsd:double"&gt;2.05638486387229&lt;/D&gt;&lt;D xsi:type="xsd:double"&gt;2.33243523795422&lt;/D&gt;&lt;D xsi:type="xsd:double"&gt;2.39396267901345&lt;/D&gt;&lt;D xsi:type="xsd:double"&gt;2.37796281772887&lt;/D&gt;&lt;D xsi:type="xsd:double"&gt;2.37692746106561&lt;/D&gt;&lt;D xsi:type="xsd:double"&gt;2.37215274640436&lt;/D&gt;&lt;D xsi:type="xsd:double"&gt;2.41229377595199&lt;/D&gt;&lt;D xsi:type="xsd:double"&gt;2.39442154657738&lt;/D&gt;&lt;D xsi:type="xsd:double"&gt;2.49446925140988&lt;/D&gt;&lt;D xsi:type="xsd:double"&gt;2.3759321878262&lt;/D&gt;&lt;D xsi:type="xsd:double"&gt;2.37233864619671&lt;/D&gt;&lt;D xsi:type="xsd:double"&gt;2.45268895310723&lt;/D&gt;&lt;D xsi:type="xsd:double"&gt;2.48819556834477&lt;/D&gt;&lt;D xsi:type="xsd:double"&gt;2.53479322877522&lt;/D&gt;&lt;D xsi:type="xsd:double"&gt;2.53798821401362&lt;/D&gt;&lt;D xsi:type="xsd:double"&gt;2.47431192293148&lt;/D&gt;&lt;D xsi:type="xsd:double"&gt;2.62706572921456&lt;/D&gt;&lt;D xsi:type="xsd:double"&gt;2.62364834349482&lt;/D&gt;&lt;D xsi:type="xsd:double"&gt;2.59770640462304&lt;/D&gt;&lt;D xsi:type="xsd:double"&gt;2.89013245044069&lt;/D&gt;&lt;D xsi:type="xsd:double"&gt;2.86609128775434&lt;/D&gt;&lt;D xsi:type="xsd:double"&gt;2.72114183105432&lt;/D&gt;&lt;D xsi:type="xsd:double"&gt;2.81929155576395&lt;/D&gt;&lt;D xsi:type="xsd:double"&gt;2.74874319020641&lt;/D&gt;&lt;D xsi:type="xsd:double"&gt;2.94020409211972&lt;/D&gt;&lt;D xsi:type="xsd:double"&gt;3.42098206945065&lt;/D&gt;&lt;D xsi:type="xsd:double"&gt;3.45484695124552&lt;/D&gt;&lt;D xsi:type="xsd:double"&gt;3.23586955165528&lt;/D&gt;&lt;D xsi:type="xsd:double"&gt;3.34276260470382&lt;/D&gt;&lt;D xsi:type="xsd:double"&gt;3.45387500099862&lt;/D&gt;&lt;D xsi:type="xsd:double"&gt;3.2802216151793&lt;/D&gt;&lt;D xsi:type="xsd:double"&gt;3.49013153628187&lt;/D&gt;&lt;D xsi:type="xsd:double"&gt;3.52796192969034&lt;/D&gt;&lt;D xsi:type="xsd:double"&gt;3.67082800336205&lt;/D&gt;&lt;D xsi:type="xsd:double"&gt;3.93311248537637&lt;/D&gt;&lt;D xsi:type="xsd:double"&gt;3.59555044260703&lt;/D&gt;&lt;D xsi:type="xsd:double"&gt;3.48632987004196&lt;/D&gt;&lt;D xsi:type="xsd:double"&gt;3.50753969340514&lt;/D&gt;&lt;D xsi:type="xsd:double"&gt;3.43054806790019&lt;/D&gt;&lt;D xsi:type="xsd:double"&gt;3.33566064456186&lt;/D&gt;&lt;D xsi:type="xsd:double"&gt;3.33901654651169&lt;/D&gt;&lt;D xsi:type="xsd:double"&gt;4.46047854463258&lt;/D&gt;&lt;D xsi:type="xsd:double"&gt;4.33673339992361&lt;/D&gt;&lt;D xsi:type="xsd:double"&gt;3.53718671171197&lt;/D&gt;&lt;D xsi:type="xsd:double"&gt;3.05734282835721&lt;/D&gt;&lt;D xsi:type="xsd:double"&gt;3.16702752119253&lt;/D&gt;&lt;D xsi:type="xsd:double"&gt;2.96201581780736&lt;/D&gt;&lt;D xsi:type="xsd:double"&gt;3.34452200366098&lt;/D&gt;&lt;D xsi:type="xsd:double"&gt;3.34282399759408&lt;/D&gt;&lt;D xsi:type="xsd:double"&gt;3.22957674799055&lt;/D&gt;&lt;D xsi:type="xsd:double"&gt;3.44910815661&lt;/D&gt;&lt;D xsi:type="xsd:double"&gt;3.44085117849079&lt;/D&gt;&lt;D xsi:type="xsd:double"&gt;3.45862723450863&lt;/D&gt;&lt;D xsi:type="xsd:double"&gt;3.41000025490535&lt;/D&gt;&lt;D xsi:type="xsd:double"&gt;3.26005699984354&lt;/D&gt;&lt;D xsi:type="xsd:double"&gt;3.12652218230987&lt;/D&gt;&lt;D xsi:type="xsd:double"&gt;3.13386267915426&lt;/D&gt;&lt;D xsi:type="xsd:double"&gt;3.20170078859193&lt;/D&gt;&lt;D xsi:type="xsd:double"&gt;3.17863374187079&lt;/D&gt;&lt;D xsi:type="xsd:double"&gt;3.17287833770795&lt;/D&gt;&lt;D xsi:type="xsd:double"&gt;3.31385043540395&lt;/D&gt;&lt;D xsi:type="xsd:double"&gt;3.53073226977183&lt;/D&gt;&lt;D xsi:type="xsd:double"&gt;3.44489413402565&lt;/D&gt;&lt;D xsi:type="xsd:double"&gt;3.43397265935369&lt;/D&gt;&lt;D xsi:type="xsd:double"&gt;3.65256017536811&lt;/D&gt;&lt;D xsi:type="xsd:double"&gt;3.43517038578965&lt;/D&gt;&lt;D xsi:type="xsd:double"&gt;3.5235376366783&lt;/D&gt;&lt;D xsi:type="xsd:double"&gt;3.74220301031536&lt;/D&gt;&lt;D xsi:type="xsd:double"&gt;4.16152038008005&lt;/D&gt;&lt;D xsi:type="xsd:double"&gt;4.05299510007886&lt;/D&gt;&lt;D xsi:type="xsd:double"&gt;3.97954398692386&lt;/D&gt;&lt;D xsi:type="xsd:double"&gt;4.26429728163591&lt;/D&gt;&lt;D xsi:type="xsd:double"&gt;4.12216668260318&lt;/D&gt;&lt;D xsi:type="xsd:double"&gt;3.68131323167698&lt;/D&gt;&lt;D xsi:type="xsd:double"&gt;3.84764807466545&lt;/D&gt;&lt;D xsi:type="xsd:double"&gt;3.6560146829782&lt;/D&gt;&lt;D xsi:type="xsd:double"&gt;3.55663347188764&lt;/D&gt;&lt;D xsi:type="xsd:double"&gt;3.8712192036837&lt;/D&gt;&lt;D xsi:type="xsd:double"&gt;3.671642739755&lt;/D&gt;&lt;D xsi:type="xsd:double"&gt;3.63334627533598&lt;/D&gt;&lt;D xsi:type="xsd:double"&gt;3.66553970073259&lt;/D&gt;&lt;D xsi:type="xsd:double"&gt;3.81555839654976&lt;/D&gt;&lt;D xsi:type="xsd:double"&gt;3.97422265675089&lt;/D&gt;&lt;D xsi:type="xsd:double"&gt;4.10771522267352&lt;/D&gt;&lt;D xsi:type="xsd:double"&gt;4.42136852324372&lt;/D&gt;&lt;D xsi:type="xsd:double"&gt;4.06583043802345&lt;/D&gt;&lt;D xsi:type="xsd:double"&gt;3.72556838772743&lt;/D&gt;&lt;D xsi:type="xsd:double"&gt;3.90984642381049&lt;/D&gt;&lt;D xsi:type="xsd:double"&gt;3.7817137981575&lt;/D&gt;&lt;D xsi:type="xsd:double"&gt;4.11070685301839&lt;/D&gt;&lt;D xsi:type="xsd:double"&gt;4.18685547907285&lt;/D&gt;&lt;D xsi:type="xsd:double"&gt;4.18227470517724&lt;/D&gt;&lt;D xsi:type="xsd:double"&gt;4.56539343147111&lt;/D&gt;&lt;D xsi:type="xsd:double"&gt;4.44390257236538&lt;/D&gt;&lt;/FQL&gt;&lt;FQL&gt;&lt;Q&gt;EWM^FMA_PE(NTMA,-10AY,0,AM,"PORTAGG","MEANR")&lt;/Q&gt;&lt;R&gt;121&lt;/R&gt;&lt;C&gt;1&lt;/C&gt;&lt;D xsi:type="xsd:double"&gt;15.6509814794757&lt;/D&gt;&lt;D xsi:type="xsd:double"&gt;15.7113727362182&lt;/D&gt;&lt;D xsi:type="xsd:double"&gt;15.7172511954301&lt;/D&gt;&lt;D xsi:type="xsd:double"&gt;15.1251227752614&lt;/D&gt;&lt;D xsi:type="xsd:double"&gt;15.423779323103&lt;/D&gt;&lt;D xsi:type="xsd:double"&gt;14.7949503648194&lt;/D&gt;&lt;D xsi:type="xsd:double"&gt;14.9988883445248&lt;/D&gt;&lt;D xsi:type="xsd:double"&gt;15.5560074728314&lt;/D&gt;&lt;D xsi:type="xsd:double"&gt;15.7505449061391&lt;/D&gt;&lt;D xsi:type="xsd:double"&gt;16.0710990613469&lt;/D&gt;&lt;D xsi:type="xsd:double"&gt;15.7850252003187&lt;/D&gt;&lt;D xsi:type="xsd:double"&gt;15.2683762121157&lt;/D&gt;&lt;D xsi:type="xsd:double"&gt;15.3194632032196&lt;/D&gt;&lt;D xsi:type="xsd:double"&gt;13.9691539854976&lt;/D&gt;&lt;D xsi:type="xsd:double"&gt;15.158311674625&lt;/D&gt;&lt;D xsi:type="xsd:double"&gt;15.618460342311&lt;/D&gt;&lt;D xsi:type="xsd:double"&gt;15.0628654775251&lt;/D&gt;&lt;D xsi:type="xsd:double"&gt;15.2173379244722&lt;/D&gt;&lt;D xsi:type="xsd:double"&gt;14.9828505228532&lt;/D&gt;&lt;D xsi:type="xsd:double"&gt;15.4956114980247&lt;/D&gt;&lt;D xsi:type="xsd:double"&gt;16.1341724109893&lt;/D&gt;&lt;D xsi:type="xsd:double"&gt;16.100434573363&lt;/D&gt;&lt;D xsi:type="xsd:double"&gt;15.4537195095992&lt;/D&gt;&lt;D xsi:type="xsd:double"&gt;15.9554411028554&lt;/D&gt;&lt;D xsi:type="xsd:double"&gt;16.5095990398718&lt;/D&gt;&lt;D xsi:type="xsd:double"&gt;16.7032921089232&lt;/D&gt;&lt;D xsi:type="xsd:double"&gt;16.5788296513678&lt;/D&gt;&lt;D xsi:type="xsd:double"&gt;16.7820078479106&lt;/D&gt;&lt;D xsi:type="xsd:double"&gt;16.2427690873619&lt;/D&gt;&lt;D xsi:type="xsd:double"&gt;16.3842179081752&lt;/D&gt;&lt;D xsi:type="xsd:double"&gt;16.562240885926&lt;/D&gt;&lt;D xsi:type="xsd:double"&gt;16.7500225494194&lt;/D&gt;&lt;D xsi:type="xsd:double"&gt;16.9690536941558&lt;/D&gt;&lt;D xsi:type="xsd:double"&gt;16.7762735415116&lt;/D&gt;&lt;D xsi:type="xsd:double"&gt;16.979248641641&lt;/D&gt;&lt;D xsi:type="xsd:double"&gt;16.7024980720271&lt;/D&gt;&lt;D xsi:type="xsd:double"&gt;16.3008675075072&lt;/D&gt;&lt;D xsi:type="xsd:double"&gt;16.3767616332861&lt;/D&gt;&lt;D xsi:type="xsd:double"&gt;16.4208923709996&lt;/D&gt;&lt;D xsi:type="xsd:double"&gt;16.0102129658604&lt;/D&gt;&lt;D xsi:type="xsd:double"&gt;15.587678558459&lt;/D&gt;&lt;D xsi:type="xsd:double"&gt;15.9378437548373&lt;/D&gt;&lt;D xsi:type="xsd:double"&gt;16.7016322862536&lt;/D&gt;&lt;D xsi:type="xsd:double"&gt;16.6663377362033&lt;/D&gt;&lt;D xsi:type="xsd:double"&gt;16.365442383379&lt;/D&gt;&lt;D xsi:type="xsd:double"&gt;16.6973288736203&lt;/D&gt;&lt;D xsi:type="xsd:double"&gt;16.3050777116957&lt;/D&gt;&lt;D xsi:type="xsd:double"&gt;15.6755268848373&lt;/D&gt;&lt;D xsi:type="xsd:double"&gt;16.0564723810116&lt;/D&gt;&lt;D xsi:type="xsd:double"&gt;16.3186510963851&lt;/D&gt;&lt;D xsi:type="xsd:double"&gt;16.4561939941894&lt;/D&gt;&lt;D xsi:type="xsd:double"&gt;15.7352189446193&lt;/D&gt;&lt;D xsi:type="xsd:double"&gt;15.8102891519137&lt;/D&gt;&lt;D xsi:type="xsd:double"&gt;15.6773424417035&lt;/D&gt;&lt;D xsi:type="xsd:double"&gt;16.2338462165978&lt;/D&gt;&lt;D xsi:type="xsd:double"&gt;16.4203690026897&lt;/D&gt;&lt;D xsi:type="xsd:double"&gt;16.4790556475707&lt;/D&gt;&lt;D xsi:type="xsd:double"&gt;15.8861282881789&lt;/D&gt;&lt;D xsi:type="xsd:double"&gt;15.6532630204864&lt;/D&gt;&lt;D xsi:type="xsd:double"&gt;16.6786062519775&lt;/D&gt;&lt;D xsi:type="xsd:double"&gt;16.558457923611&lt;/D&gt;&lt;D xsi:type="xsd:double"&gt;15.9621060098603&lt;/D&gt;&lt;D xsi:type="xsd:double"&gt;16.0701535445785&lt;/D&gt;&lt;D xsi:type="xsd:double"&gt;15.7819143971986&lt;/D&gt;&lt;D xsi:type="xsd:double"&gt;16.1153125469714&lt;/D&gt;&lt;D xsi:type="xsd:double"&gt;16.1495845087685&lt;/D&gt;&lt;D xsi:type="xsd:double"&gt;16.0163110753749&lt;/D&gt;&lt;D xsi:type="xsd:double"&gt;15.4959409326376&lt;/D&gt;&lt;D xsi:type="xsd:double"&gt;12.9535166493328&lt;/D&gt;&lt;D xsi:type="xsd:double"&gt;15.897267989474&lt;/D&gt;&lt;D xsi:type="xsd:double"&gt;16.5294874688792&lt;/D&gt;&lt;D xsi:type="xsd:double"&gt;18.9788199799816&lt;/D&gt;&lt;D xsi:type="xsd:double"&gt;19.679463158299&lt;/D&gt;&lt;D xsi:type="xsd:double"&gt;18.7796940341557&lt;/D&gt;&lt;D xsi:type="xsd:double"&gt;17.508566428689&lt;/D&gt;&lt;D xsi:type="xsd:double"&gt;17.4376919552269&lt;/D&gt;&lt;D xsi:type="xsd:double"&gt;16.2180221172028&lt;/D&gt;&lt;D xsi:type="xsd:double"&gt;15.3470234092752&lt;/D&gt;&lt;D xsi:type="xsd:double"&gt;14.5480024871719&lt;/D&gt;&lt;D xsi:type="xsd:double"&gt;14.0742595578831&lt;/D&gt;&lt;D xsi:type="xsd:double"&gt;14.4714372607846&lt;/D&gt;&lt;D xsi:type="xsd:double"&gt;14.2269224199983&lt;/D&gt;&lt;D xsi:type="xsd:double"&gt;13.9558588853048&lt;/D&gt;&lt;D xsi:type="xsd:double"&gt;14.0609051754094&lt;/D&gt;&lt;D xsi:type="xsd:double"&gt;13.5397494499646&lt;/D&gt;&lt;D xsi:type="xsd:double"&gt;13.4593202751515&lt;/D&gt;&lt;D xsi:type="xsd:double"&gt;14.1269643628759&lt;/D&gt;&lt;D xsi:type="xsd:double"&gt;14.7424987596731&lt;/D&gt;&lt;D xsi:type="xsd:double"&gt;14.286944980152&lt;/D&gt;&lt;D xsi:type="xsd:double"&gt;15.0721590594282&lt;/D&gt;&lt;D xsi:type="xsd:double"&gt;15.2961866259737&lt;/D&gt;&lt;D xsi:type="xsd:double"&gt;15.6406716713714&lt;/D&gt;&lt;D xsi:type="xsd:double"&gt;15.3289679734756&lt;/D&gt;&lt;D xsi:type="xsd:double"&gt;14.9443363616078&lt;/D&gt;&lt;D xsi:type="xsd:double"&gt;14.4314522295439&lt;/D&gt;&lt;D xsi:type="xsd:double"&gt;13.5801820582178&lt;/D&gt;&lt;D xsi:type="xsd:double"&gt;13.3240371062432&lt;/D&gt;&lt;D xsi:type="xsd:double"&gt;13.9471022368568&lt;/D&gt;&lt;D xsi:type="xsd:double"&gt;13.3184219849463&lt;/D&gt;&lt;D xsi:type="xsd:double"&gt;12.8955865812281&lt;/D&gt;&lt;D xsi:type="xsd:double"&gt;13.105139137013&lt;/D&gt;&lt;D xsi:type="xsd:double"&gt;13.4174309771028&lt;/D&gt;&lt;D xsi:type="xsd:double"&gt;13.5846991842309&lt;/D&gt;&lt;D xsi:type="xsd:double"&gt;13.3365673159331&lt;/D&gt;&lt;D xsi:type="xsd:double"&gt;12.9302363982569&lt;/D&gt;&lt;D xsi:type="xsd:double"&gt;13.1075547326699&lt;/D&gt;&lt;D xsi:type="xsd:double"&gt;13.18821137844&lt;/D&gt;&lt;D xsi:type="xsd:double"&gt;13.3232780386065&lt;/D&gt;&lt;D xsi:type="xsd:double"&gt;13.4525825354129&lt;/D&gt;&lt;D xsi:type="xsd:double"&gt;13.7100488445621&lt;/D&gt;&lt;D xsi:type="xsd:double"&gt;13.8556218746971&lt;/D&gt;&lt;D xsi:type="xsd:double"&gt;13.6230502733285&lt;/D&gt;&lt;D xsi:type="xsd:double"&gt;13.668504231905&lt;/D&gt;&lt;D xsi:type="xsd:double"&gt;13.7681214455996&lt;/D&gt;&lt;D xsi:type="xsd:double"&gt;13.6972581042909&lt;/D&gt;&lt;D xsi:type="xsd:double"&gt;14.0502627291465&lt;/D&gt;&lt;D xsi:type="xsd:double"&gt;13.9805240382676&lt;/D&gt;&lt;D xsi:type="xsd:double"&gt;13.961168522316&lt;/D&gt;&lt;D xsi:type="xsd:double"&gt;14.4479895502665&lt;/D&gt;&lt;D xsi:type="xsd:double"&gt;14.0755556695749&lt;/D&gt;&lt;D xsi:type="xsd:double"&gt;14.3076503978871&lt;/D&gt;&lt;/FQL&gt;&lt;FQL&gt;&lt;Q&gt;WL-FDS^FG_PRICE(0)/MAX(FG_PRICE(0,-1AY))&lt;/Q&gt;&lt;R&gt;1&lt;/R&gt;&lt;C&gt;1&lt;/C&gt;&lt;D xsi:type="xsd:double"&gt;0.708933717579251&lt;/D&gt;&lt;/FQL&gt;&lt;FQL&gt;&lt;Q&gt;W-FDS^FG_PRICE_CHANGE(0,-1AY)&lt;/Q&gt;&lt;R&gt;1&lt;/R&gt;&lt;C&gt;1&lt;/C&gt;&lt;D xsi:type="xsd:double"&gt;-25.4208175884576&lt;/D&gt;&lt;/FQL&gt;&lt;FQL&gt;&lt;Q&gt;COPP-FDS^FG_PRICE_CHANGE(0,-1AM)&lt;/Q&gt;&lt;R&gt;1&lt;/R&gt;&lt;C&gt;1&lt;/C&gt;&lt;D xsi:type="xsd:double"&gt;-7.51863217886891&lt;/D&gt;&lt;/FQL&gt;&lt;FQL&gt;&lt;Q&gt;FC0000AE^FG_PRICE(0)&lt;/Q&gt;&lt;R&gt;1&lt;/R&gt;&lt;C&gt;1&lt;/C&gt;&lt;D xsi:type="xsd:double"&gt;143.0371&lt;/D&gt;&lt;/FQL&gt;&lt;FQL&gt;&lt;Q&gt;FC0000PH^FG_PRICE(0)&lt;/Q&gt;&lt;R&gt;1&lt;/R&gt;&lt;C&gt;1&lt;/C&gt;&lt;D xsi:type="xsd:double"&gt;321.1113&lt;/D&gt;&lt;/FQL&gt;&lt;FQL&gt;&lt;Q&gt;KSA^FG_PRICE(0)&lt;/Q&gt;&lt;R&gt;1&lt;/R&gt;&lt;C&gt;1&lt;/C&gt;&lt;D xsi:type="xsd:double"&gt;42.04&lt;/D&gt;&lt;/FQL&gt;&lt;FQL&gt;&lt;Q&gt;QAT^FG_PRICE_MAVG(0,,,,30)&lt;/Q&gt;&lt;R&gt;1&lt;/R&gt;&lt;C&gt;1&lt;/C&gt;&lt;D xsi:type="xsd:double"&gt;16.892824&lt;/D&gt;&lt;/FQL&gt;&lt;FQL&gt;&lt;Q&gt;EPU^FG_PRICE(0)&lt;/Q&gt;&lt;R&gt;1&lt;/R&gt;&lt;C&gt;1&lt;/C&gt;&lt;D xsi:type="xsd:double"&gt;41.02&lt;/D&gt;&lt;/FQL&gt;&lt;FQL&gt;&lt;Q&gt;CNYA^FG_PRICE_MAVG(0,,,,30)&lt;/Q&gt;&lt;R&gt;1&lt;/R&gt;&lt;C&gt;1&lt;/C&gt;&lt;D xsi:type="xsd:double"&gt;25.69144&lt;/D&gt;&lt;/FQL&gt;&lt;FQL&gt;&lt;Q&gt;VNM^FMA_PCT_ABOVE_MAVG(200,0,,,,"PORTAGG")&lt;/Q&gt;&lt;R&gt;1&lt;/R&gt;&lt;C&gt;1&lt;/C&gt;&lt;D xsi:type="xsd:double"&gt;54.1666666666667&lt;/D&gt;&lt;/FQL&gt;&lt;FQL&gt;&lt;Q&gt;MCHI^FG_TOTAL_RETURNC(0,-3AM)&lt;/Q&gt;&lt;R&gt;1&lt;/R&gt;&lt;C&gt;1&lt;/C&gt;&lt;D xsi:type="xsd:double"&gt;7.091892&lt;/D&gt;&lt;/FQL&gt;&lt;FQL&gt;&lt;Q&gt;GREK^FG_TOTAL_RETURNC(0,-1AM)&lt;/Q&gt;&lt;R&gt;1&lt;/R&gt;&lt;C&gt;1&lt;/C&gt;&lt;D xsi:type="xsd:double"&gt;5.4454923&lt;/D&gt;&lt;/FQL&gt;&lt;FQL&gt;&lt;Q&gt;EWZ^PERCENT_CHANGE(FMA_EPS(+1,0,,,,"PORTAGG","MEAN"),FMA_EPS(+1,-3AM,,,,"PORTAGG","MEAN"))&lt;/Q&gt;&lt;R&gt;1&lt;/R&gt;&lt;C&gt;1&lt;/C&gt;&lt;D xsi:type="xsd:double"&gt;-6.4854853924683&lt;/D&gt;&lt;/FQL&gt;&lt;FQL&gt;&lt;Q&gt;EWJ^SIZE(FG_CONSTITUENTS)&lt;/Q&gt;&lt;R&gt;1&lt;/R&gt;&lt;C&gt;1&lt;/C&gt;&lt;D xsi:type="xsd:long"&gt;204&lt;/D&gt;&lt;/FQL&gt;&lt;FQL&gt;&lt;Q&gt;UAE^SIZE(FG_CONSTITUENTS)&lt;/Q&gt;&lt;R&gt;1&lt;/R&gt;&lt;C&gt;1&lt;/C&gt;&lt;D xsi:type="xsd:long"&gt;43&lt;/D&gt;&lt;/FQL&gt;&lt;FQL&gt;&lt;Q&gt;GREK^FMA_COS_DOWN("EPS","1M",+1,NOW,,,"PORTAGG","MEANR")&lt;/Q&gt;&lt;R&gt;1&lt;/R&gt;&lt;C&gt;1&lt;/C&gt;&lt;D xsi:type="xsd:double"&gt;8&lt;/D&gt;&lt;/FQL&gt;&lt;FQL&gt;&lt;Q&gt;TRYSA10Y-FDS^FG_YIELD(0,,,,"YTM")&lt;/Q&gt;&lt;R&gt;1&lt;/R&gt;&lt;C&gt;1&lt;/C&gt;&lt;D xsi:type="xsd:double"&gt;5.075296&lt;/D&gt;&lt;/FQL&gt;&lt;FQL&gt;&lt;Q&gt;CNYA^FMA_PE(NTMA,0,,,"PORTAGG","MEANR")&lt;/Q&gt;&lt;R&gt;1&lt;/R&gt;&lt;C&gt;1&lt;/C&gt;&lt;D xsi:type="xsd:double"&gt;11.9711810989523&lt;/D&gt;&lt;/FQL&gt;&lt;FQL&gt;&lt;Q&gt;EWZ^PERCENT_CHANGE(FMA_EPS(+1,0,,,,"PORTAGG","MEAN"),FMA_EPS(+1,-1AM,,,,"PORTAGG","MEAN"))&lt;/Q&gt;&lt;R&gt;1&lt;/R&gt;&lt;C&gt;1&lt;/C&gt;&lt;D xsi:type="xsd:double"&gt;-1.70389497307298&lt;/D&gt;&lt;/FQL&gt;&lt;FQL&gt;&lt;Q&gt;EPU^FG_TOTAL_RETURNC(0,-12AM)&lt;/Q&gt;&lt;R&gt;1&lt;/R&gt;&lt;C&gt;1&lt;/C&gt;&lt;D xsi:type="xsd:double"&gt;30.46025&lt;/D&gt;&lt;/FQL&gt;&lt;FQL&gt;&lt;Q&gt;FC0000ZA^FMA_EPS(NTMA,-20AY,0,CY,,"PORTAGG","MEANR")&lt;/Q&gt;&lt;R&gt;20&lt;/R&gt;&lt;C&gt;1&lt;/C&gt;&lt;D xsi:type="xsd:double"&gt;21.1738585852974&lt;/D&gt;&lt;D xsi:type="xsd:double"&gt;23.7133706065956&lt;/D&gt;&lt;D xsi:type="xsd:double"&gt;27.6451629284564&lt;/D&gt;&lt;D xsi:type="xsd:double"&gt;34.5616321819067&lt;/D&gt;&lt;D xsi:type="xsd:double"&gt;25.2671072778123&lt;/D&gt;&lt;D xsi:type="xsd:double"&gt;27.8489815431612&lt;/D&gt;&lt;D xsi:type="xsd:double"&gt;37.9789630694542&lt;/D&gt;&lt;D xsi:type="xsd:double"&gt;35.9045018487394&lt;/D&gt;&lt;D xsi:type="xsd:double"&gt;33.8436615365372&lt;/D&gt;&lt;D xsi:type="xsd:double"&gt;28.3585622697464&lt;/D&gt;&lt;D xsi:type="xsd:double"&gt;25.4355494971776&lt;/D&gt;&lt;D xsi:type="xsd:double"&gt;19.9580367513956&lt;/D&gt;&lt;D xsi:type="xsd:double"&gt;24.0966328377552&lt;/D&gt;&lt;D xsi:type="xsd:double"&gt;27.7235772532822&lt;/D&gt;&lt;D xsi:type="xsd:double"&gt;26.7049155898813&lt;/D&gt;&lt;D xsi:type="xsd:double"&gt;31.8782513894411&lt;/D&gt;&lt;D xsi:type="xsd:double"&gt;34.3748784344418&lt;/D&gt;&lt;D xsi:type="xsd:double"&gt;36.8513185481351&lt;/D&gt;&lt;D xsi:type="xsd:double"&gt;38.6122872238503&lt;/D&gt;&lt;D xsi:type="xsd:double"&gt;33.9202192829757&lt;/D&gt;&lt;/FQL&gt;&lt;FQL&gt;&lt;Q&gt;EWT^FG_TOTAL_RETURNC(-10AY,0,AM)&lt;/Q&gt;&lt;R&gt;121&lt;/R&gt;&lt;C&gt;1&lt;/C&gt;&lt;D xsi:type="xsd:double"&gt;2.4265766&lt;/D&gt;&lt;D xsi:type="xsd:double"&gt;0.6857753&lt;/D&gt;&lt;D xsi:type="xsd:double"&gt;-1.5479863&lt;/D&gt;&lt;D xsi:type="xsd:double"&gt;-6.5408826&lt;/D&gt;&lt;D xsi:type="xsd:double"&gt;4.9125195&lt;/D&gt;&lt;D xsi:type="xsd:double"&gt;-2.6646733&lt;/D&gt;&lt;D xsi:type="xsd:double"&gt;1.6129017&lt;/D&gt;&lt;D xsi:type="xsd:double"&gt;4.431212&lt;/D&gt;&lt;D xsi:type="xsd:double"&gt;1.773274&lt;/D&gt;&lt;D xsi:type="xsd:double"&gt;-1.8668294&lt;/D&gt;&lt;D xsi:type="xsd:double"&gt;5.3899884&lt;/D&gt;&lt;D xsi:type="xsd:double"&gt;-5.4151654&lt;/D&gt;&lt;D xsi:type="xsd:double"&gt;-1.3358772&lt;/D&gt;&lt;D xsi:type="xsd:double"&gt;-15.860737&lt;/D&gt;&lt;D xsi:type="xsd:double"&gt;5.593872&lt;/D&gt;&lt;D xsi:type="xsd:double"&gt;3.4107447&lt;/D&gt;&lt;D xsi:type="xsd:double"&gt;-3.0877173&lt;/D&gt;&lt;D xsi:type="xsd:double"&gt;-4.344678&lt;/D&gt;&lt;D xsi:type="xsd:double"&gt;-8.694911&lt;/D&gt;&lt;D xsi:type="xsd:double"&gt;8.205128&lt;/D&gt;&lt;D xsi:type="xsd:double"&gt;10.663509&lt;/D&gt;&lt;D xsi:type="xsd:double"&gt;-2.2127092&lt;/D&gt;&lt;D xsi:type="xsd:double"&gt;-9.197081&lt;/D&gt;&lt;D xsi:type="xsd:double"&gt;9.485531&lt;/D&gt;&lt;D xsi:type="xsd:double"&gt;8.957422&lt;/D&gt;&lt;D xsi:type="xsd:double"&gt;2.3584843&lt;/D&gt;&lt;D xsi:type="xsd:double"&gt;2.0408154&lt;/D&gt;&lt;D xsi:type="xsd:double"&gt;2.0645142&lt;/D&gt;&lt;D xsi:type="xsd:double"&gt;-5.3729415&lt;/D&gt;&lt;D xsi:type="xsd:double"&gt;1.4028072&lt;/D&gt;&lt;D xsi:type="xsd:double"&gt;2.237308&lt;/D&gt;&lt;D xsi:type="xsd:double"&gt;7.585752&lt;/D&gt;&lt;D xsi:type="xsd:double"&gt;2.0539641&lt;/D&gt;&lt;D xsi:type="xsd:double"&gt;-2.313006&lt;/D&gt;&lt;D xsi:type="xsd:double"&gt;6.150067&lt;/D&gt;&lt;D xsi:type="xsd:double"&gt;1.564312&lt;/D&gt;&lt;D xsi:type="xsd:double"&gt;5.2196145&lt;/D&gt;&lt;D xsi:type="xsd:double"&gt;-1.7077804&lt;/D&gt;&lt;D xsi:type="xsd:double"&gt;2.7578592&lt;/D&gt;&lt;D xsi:type="xsd:double"&gt;1.3687611&lt;/D&gt;&lt;D xsi:type="xsd:double"&gt;0&lt;/D&gt;&lt;D xsi:type="xsd:double"&gt;-3.8683832&lt;/D&gt;&lt;D xsi:type="xsd:double"&gt;10.0595&lt;/D&gt;&lt;D xsi:type="xsd:double"&gt;-2.7033985&lt;/D&gt;&lt;D xsi:type="xsd:double"&gt;1.164329&lt;/D&gt;&lt;D xsi:type="xsd:double"&gt;-2.1710634&lt;/D&gt;&lt;D xsi:type="xsd:double"&gt;-1.9251347&lt;/D&gt;&lt;D xsi:type="xsd:double"&gt;-1.7175615&lt;/D&gt;&lt;D xsi:type="xsd:double"&gt;1.6920924&lt;/D&gt;&lt;D xsi:type="xsd:double"&gt;-0.35461187&lt;/D&gt;&lt;D xsi:type="xsd:double"&gt;1.5329957&lt;/D&gt;&lt;D xsi:type="xsd:double"&gt;-9.733081&lt;/D&gt;&lt;D xsi:type="xsd:double"&gt;-1.9115865&lt;/D&gt;&lt;D xsi:type="xsd:double"&gt;-2.0629168&lt;/D&gt;&lt;D xsi:type="xsd:double"&gt;3.6561847&lt;/D&gt;&lt;D xsi:type="xsd:double"&gt;2.3824215&lt;/D&gt;&lt;D xsi:type="xsd:double"&gt;3.5055876&lt;/D&gt;&lt;D xsi:type="xsd:double"&gt;5.5182457&lt;/D&gt;&lt;D xsi:type="xsd:double"&gt;-8.384061&lt;/D&gt;&lt;D xsi:type="xsd:double"&gt;4.832375&lt;/D&gt;&lt;D xsi:type="xsd:double"&gt;2.967453&lt;/D&gt;&lt;D xsi:type="xsd:double"&gt;-3.8332462&lt;/D&gt;&lt;D xsi:type="xsd:double"&gt;6.1972737&lt;/D&gt;&lt;D xsi:type="xsd:double"&gt;3.9999962&lt;/D&gt;&lt;D xsi:type="xsd:double"&gt;5.6375146&lt;/D&gt;&lt;D xsi:type="xsd:double"&gt;5.1365256&lt;/D&gt;&lt;D xsi:type="xsd:double"&gt;0.99684&lt;/D&gt;&lt;D xsi:type="xsd:double"&gt;-3.1054437&lt;/D&gt;&lt;D xsi:type="xsd:double"&gt;-26.757765&lt;/D&gt;&lt;D xsi:type="xsd:double"&gt;22.42198&lt;/D&gt;&lt;D xsi:type="xsd:double"&gt;2.355218&lt;/D&gt;&lt;D xsi:type="xsd:double"&gt;7.200861&lt;/D&gt;&lt;D xsi:type="xsd:double"&gt;8.282841&lt;/D&gt;&lt;D xsi:type="xsd:double"&gt;4.617536&lt;/D&gt;&lt;D xsi:type="xsd:double"&gt;1.0699987&lt;/D&gt;&lt;D xsi:type="xsd:double"&gt;1.1910081&lt;/D&gt;&lt;D xsi:type="xsd:double"&gt;8.609414&lt;/D&gt;&lt;D xsi:type="xsd:double"&gt;5.455005&lt;/D&gt;&lt;D xsi:type="xsd:double"&gt;11.906147&lt;/D&gt;&lt;D xsi:type="xsd:double"&gt;4.054761&lt;/D&gt;&lt;D xsi:type="xsd:double"&gt;-3.1473756&lt;/D&gt;&lt;D xsi:type="xsd:double"&gt;8.132732&lt;/D&gt;&lt;D xsi:type="xsd:double"&gt;-5.422163&lt;/D&gt;&lt;D xsi:type="xsd:double"&gt;5.1613927&lt;/D&gt;&lt;D xsi:type="xsd:double"&gt;1.5507579&lt;/D&gt;&lt;D xsi:type="xsd:double"&gt;-5.1007566&lt;/D&gt;&lt;D xsi:type="xsd:double"&gt;6.6522956&lt;/D&gt;&lt;D xsi:type="xsd:double"&gt;-2.4731696&lt;/D&gt;&lt;D xsi:type="xsd:double"&gt;5.58213&lt;/D&gt;&lt;D xsi:type="xsd:double"&gt;0.12984276&lt;/D&gt;&lt;D xsi:type="xsd:double"&gt;3.2088041&lt;/D&gt;&lt;D xsi:type="xsd:double"&gt;-1.6821921&lt;/D&gt;&lt;D xsi:type="xsd:double"&gt;-4.491287&lt;/D&gt;&lt;D xsi:type="xsd:double"&gt;-7.1497145&lt;/D&gt;&lt;D xsi:type="xsd:double"&gt;-6.7700267&lt;/D&gt;&lt;D xsi:type="xsd:double"&gt;-3.2889843&lt;/D&gt;&lt;D xsi:type="xsd:double"&gt;-3.515476&lt;/D&gt;&lt;D xsi:type="xsd:double"&gt;3.3663392&lt;/D&gt;&lt;D xsi:type="xsd:double"&gt;-8.544058&lt;/D&gt;&lt;D xsi:type="xsd:double"&gt;-13.175535&lt;/D&gt;&lt;D xsi:type="xsd:double"&gt;17.273819&lt;/D&gt;&lt;D xsi:type="xsd:double"&gt;-0.72327256&lt;/D&gt;&lt;D xsi:type="xsd:double"&gt;6.040597&lt;/D&gt;&lt;D xsi:type="xsd:double"&gt;2.3754597&lt;/D&gt;&lt;D xsi:type="xsd:double"&gt;-1.8472612&lt;/D&gt;&lt;D xsi:type="xsd:double"&gt;1.7672777&lt;/D&gt;&lt;D xsi:type="xsd:double"&gt;2.8416753&lt;/D&gt;&lt;D xsi:type="xsd:double"&gt;6.25&lt;/D&gt;&lt;D xsi:type="xsd:double"&gt;-0.49536228&lt;/D&gt;&lt;D xsi:type="xsd:double"&gt;-6.40946&lt;/D&gt;&lt;D xsi:type="xsd:double"&gt;0.93085766&lt;/D&gt;&lt;D xsi:type="xsd:double"&gt;-1.6688645&lt;/D&gt;&lt;D xsi:type="xsd:double"&gt;6.8110824&lt;/D&gt;&lt;D xsi:type="xsd:double"&gt;3.6587954&lt;/D&gt;&lt;D xsi:type="xsd:double"&gt;0.4713297&lt;/D&gt;&lt;D xsi:type="xsd:double"&gt;4.299617&lt;/D&gt;&lt;D xsi:type="xsd:double"&gt;4.729879&lt;/D&gt;&lt;D xsi:type="xsd:double"&gt;-5.303502&lt;/D&gt;&lt;D xsi:type="xsd:double"&gt;11.529207&lt;/D&gt;&lt;D xsi:type="xsd:double"&gt;6.7869782&lt;/D&gt;&lt;D xsi:type="xsd:double"&gt;-2.3879468&lt;/D&gt;&lt;/FQL&gt;&lt;FQL&gt;&lt;Q&gt;EWT^FMA_DIV_YLD(NTMA,-10AY,0,AM,"PORTAGG","MEANR")&lt;/Q&gt;&lt;R&gt;121&lt;/R&gt;&lt;C&gt;1&lt;/C&gt;&lt;D xsi:type="xsd:double"&gt;3.15631724494546&lt;/D&gt;&lt;D xsi:type="xsd:double"&gt;3.26401120267627&lt;/D&gt;&lt;D xsi:type="xsd:double"&gt;3.32735343833486&lt;/D&gt;&lt;D xsi:type="xsd:double"&gt;3.68277485349182&lt;/D&gt;&lt;D xsi:type="xsd:double"&gt;3.44565368442261&lt;/D&gt;&lt;D xsi:type="xsd:double"&gt;3.4643541876202&lt;/D&gt;&lt;D xsi:type="xsd:double"&gt;3.54842433282164&lt;/D&gt;&lt;D xsi:type="xsd:double"&gt;3.41444117853771&lt;/D&gt;&lt;D xsi:type="xsd:double"&gt;3.40198973106438&lt;/D&gt;&lt;D xsi:type="xsd:double"&gt;3.60760214710347&lt;/D&gt;&lt;D xsi:type="xsd:double"&gt;3.68170062777432&lt;/D&gt;&lt;D xsi:type="xsd:double"&gt;3.88421597839693&lt;/D&gt;&lt;D xsi:type="xsd:double"&gt;4.00782296413407&lt;/D&gt;&lt;D xsi:type="xsd:double"&gt;4.43029963559293&lt;/D&gt;&lt;D xsi:type="xsd:double"&gt;4.20553658085194&lt;/D&gt;&lt;D xsi:type="xsd:double"&gt;4.10505299852471&lt;/D&gt;&lt;D xsi:type="xsd:double"&gt;4.13837615216161&lt;/D&gt;&lt;D xsi:type="xsd:double"&gt;4.23348815591709&lt;/D&gt;&lt;D xsi:type="xsd:double"&gt;4.57056253709617&lt;/D&gt;&lt;D xsi:type="xsd:double"&gt;4.31629668940777&lt;/D&gt;&lt;D xsi:type="xsd:double"&gt;4.06629356058917&lt;/D&gt;&lt;D xsi:type="xsd:double"&gt;4.28408209457186&lt;/D&gt;&lt;D xsi:type="xsd:double"&gt;4.56264778209754&lt;/D&gt;&lt;D xsi:type="xsd:double"&gt;4.22534343262884&lt;/D&gt;&lt;D xsi:type="xsd:double"&gt;4.04830132166769&lt;/D&gt;&lt;D xsi:type="xsd:double"&gt;4.07113723674045&lt;/D&gt;&lt;D xsi:type="xsd:double"&gt;4.04235029998717&lt;/D&gt;&lt;D xsi:type="xsd:double"&gt;3.98878758895416&lt;/D&gt;&lt;D xsi:type="xsd:double"&gt;4.23292194140792&lt;/D&gt;&lt;D xsi:type="xsd:double"&gt;4.19292087068715&lt;/D&gt;&lt;D xsi:type="xsd:double"&gt;4.23396953274919&lt;/D&gt;&lt;D xsi:type="xsd:double"&gt;4.0709110149792&lt;/D&gt;&lt;D xsi:type="xsd:double"&gt;4.081339718058&lt;/D&gt;&lt;D xsi:type="xsd:double"&gt;4.20169752986075&lt;/D&gt;&lt;D xsi:type="xsd:double"&gt;4.1077508648051&lt;/D&gt;&lt;D xsi:type="xsd:double"&gt;4.00618186739019&lt;/D&gt;&lt;D xsi:type="xsd:double"&gt;3.95145676434213&lt;/D&gt;&lt;D xsi:type="xsd:double"&gt;4.04693256016275&lt;/D&gt;&lt;D xsi:type="xsd:double"&gt;4.05020975583341&lt;/D&gt;&lt;D xsi:type="xsd:double"&gt;3.99642855348194&lt;/D&gt;&lt;D xsi:type="xsd:double"&gt;4.05183231669755&lt;/D&gt;&lt;D xsi:type="xsd:double"&gt;4.22017390705919&lt;/D&gt;&lt;D xsi:type="xsd:double"&gt;4.03135172876914&lt;/D&gt;&lt;D xsi:type="xsd:double"&gt;4.31142778466364&lt;/D&gt;&lt;D xsi:type="xsd:double"&gt;4.09568214772538&lt;/D&gt;&lt;D xsi:type="xsd:double"&gt;4.1884779069695&lt;/D&gt;&lt;D xsi:type="xsd:double"&gt;4.3557095784788&lt;/D&gt;&lt;D xsi:type="xsd:double"&gt;4.39350487884016&lt;/D&gt;&lt;D xsi:type="xsd:double"&gt;4.43902174502411&lt;/D&gt;&lt;D xsi:type="xsd:double"&gt;4.49279565856616&lt;/D&gt;&lt;D xsi:type="xsd:double"&gt;4.45204721456766&lt;/D&gt;&lt;D xsi:type="xsd:double"&gt;4.95013466315844&lt;/D&gt;&lt;D xsi:type="xsd:double"&gt;4.87059675526839&lt;/D&gt;&lt;D xsi:type="xsd:double"&gt;4.89591435653819&lt;/D&gt;&lt;D xsi:type="xsd:double"&gt;4.73446759034622&lt;/D&gt;&lt;D xsi:type="xsd:double"&gt;4.55044301541689&lt;/D&gt;&lt;D xsi:type="xsd:double"&gt;4.34415127867177&lt;/D&gt;&lt;D xsi:type="xsd:double"&gt;4.20250288498874&lt;/D&gt;&lt;D xsi:type="xsd:double"&gt;4.49311057374746&lt;/D&gt;&lt;D xsi:type="xsd:double"&gt;4.35402411883519&lt;/D&gt;&lt;D xsi:type="xsd:double"&gt;4.27498951062582&lt;/D&gt;&lt;D xsi:type="xsd:double"&gt;4.44584498104259&lt;/D&gt;&lt;D xsi:type="xsd:double"&gt;4.20853697367054&lt;/D&gt;&lt;D xsi:type="xsd:double"&gt;4.19406036150108&lt;/D&gt;&lt;D xsi:type="xsd:double"&gt;4.01877236289524&lt;/D&gt;&lt;D xsi:type="xsd:double"&gt;3.95833939344387&lt;/D&gt;&lt;D xsi:type="xsd:double"&gt;3.97782273421279&lt;/D&gt;&lt;D xsi:type="xsd:double"&gt;4.07028786301321&lt;/D&gt;&lt;D xsi:type="xsd:double"&gt;5.38863501583361&lt;/D&gt;&lt;D xsi:type="xsd:double"&gt;4.23712073368397&lt;/D&gt;&lt;D xsi:type="xsd:double"&gt;4.15139597546458&lt;/D&gt;&lt;D xsi:type="xsd:double"&gt;3.91749937063685&lt;/D&gt;&lt;D xsi:type="xsd:double"&gt;3.72899867617879&lt;/D&gt;&lt;D xsi:type="xsd:double"&gt;3.70535052321192&lt;/D&gt;&lt;D xsi:type="xsd:double"&gt;3.8120425246893&lt;/D&gt;&lt;D xsi:type="xsd:double"&gt;3.83980496734749&lt;/D&gt;&lt;D xsi:type="xsd:double"&gt;3.73965812260257&lt;/D&gt;&lt;D xsi:type="xsd:double"&gt;3.69874007998203&lt;/D&gt;&lt;D xsi:type="xsd:double"&gt;3.40484788754126&lt;/D&gt;&lt;D xsi:type="xsd:double"&gt;3.47248596126167&lt;/D&gt;&lt;D xsi:type="xsd:double"&gt;3.68086778695331&lt;/D&gt;&lt;D xsi:type="xsd:double"&gt;3.58430324025975&lt;/D&gt;&lt;D xsi:type="xsd:double"&gt;4.2124285307678&lt;/D&gt;&lt;D xsi:type="xsd:double"&gt;4.0263479734878&lt;/D&gt;&lt;D xsi:type="xsd:double"&gt;4.04642939489925&lt;/D&gt;&lt;D xsi:type="xsd:double"&gt;4.47235781645425&lt;/D&gt;&lt;D xsi:type="xsd:double"&gt;4.27744539233941&lt;/D&gt;&lt;D xsi:type="xsd:double"&gt;4.42281626975134&lt;/D&gt;&lt;D xsi:type="xsd:double"&gt;4.21113911179683&lt;/D&gt;&lt;D xsi:type="xsd:double"&gt;4.20420736642292&lt;/D&gt;&lt;D xsi:type="xsd:double"&gt;4.22724293071476&lt;/D&gt;&lt;D xsi:type="xsd:double"&gt;4.28689528061702&lt;/D&gt;&lt;D xsi:type="xsd:double"&gt;4.52466079829453&lt;/D&gt;&lt;D xsi:type="xsd:double"&gt;4.68026160248349&lt;/D&gt;&lt;D xsi:type="xsd:double"&gt;4.88697644580413&lt;/D&gt;&lt;D xsi:type="xsd:double"&gt;4.96082632972992&lt;/D&gt;&lt;D xsi:type="xsd:double"&gt;5.24014286815704&lt;/D&gt;&lt;D xsi:type="xsd:double"&gt;4.87591864832896&lt;/D&gt;&lt;D xsi:type="xsd:double"&gt;5.09370135139301&lt;/D&gt;&lt;D xsi:type="xsd:double"&gt;5.42296778142897&lt;/D&gt;&lt;D xsi:type="xsd:double"&gt;4.49514649785317&lt;/D&gt;&lt;D xsi:type="xsd:double"&gt;4.4627962959814&lt;/D&gt;&lt;D xsi:type="xsd:double"&gt;4.20915914736866&lt;/D&gt;&lt;D xsi:type="xsd:double"&gt;4.01731952989248&lt;/D&gt;&lt;D xsi:type="xsd:double"&gt;3.98793159994767&lt;/D&gt;&lt;D xsi:type="xsd:double"&gt;3.89307489347487&lt;/D&gt;&lt;D xsi:type="xsd:double"&gt;3.65459674098793&lt;/D&gt;&lt;D xsi:type="xsd:double"&gt;3.43788242304105&lt;/D&gt;&lt;D xsi:type="xsd:double"&gt;3.42139216990285&lt;/D&gt;&lt;D xsi:type="xsd:double"&gt;3.63061250542338&lt;/D&gt;&lt;D xsi:type="xsd:double"&gt;3.59784949416982&lt;/D&gt;&lt;D xsi:type="xsd:double"&gt;3.60632635966546&lt;/D&gt;&lt;D xsi:type="xsd:double"&gt;3.46230843957746&lt;/D&gt;&lt;D xsi:type="xsd:double"&gt;3.37996167141323&lt;/D&gt;&lt;D xsi:type="xsd:double"&gt;3.39674091224859&lt;/D&gt;&lt;D xsi:type="xsd:double"&gt;3.30475795180047&lt;/D&gt;&lt;D xsi:type="xsd:double"&gt;3.13248567205933&lt;/D&gt;&lt;D xsi:type="xsd:double"&gt;3.30583272785853&lt;/D&gt;&lt;D xsi:type="xsd:double"&gt;3.06420798925224&lt;/D&gt;&lt;D xsi:type="xsd:double"&gt;2.9725012521519&lt;/D&gt;&lt;D xsi:type="xsd:double"&gt;2.94207425638851&lt;/D&gt;&lt;/FQL&gt;&lt;FQL&gt;&lt;Q&gt;EWW^FMA_PE(LTMA,-10AY,0,AM,"PORTAGG","MEANR")&lt;/Q&gt;&lt;R&gt;121&lt;/R&gt;&lt;C&gt;1&lt;/C&gt;&lt;D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xsi:type="xsd:double"&gt;22.1440370806053&lt;/D&gt;&lt;D xsi:type="xsd:double"&gt;24.0217453694675&lt;/D&gt;&lt;D xsi:type="xsd:double"&gt;24.7277604672983&lt;/D&gt;&lt;D xsi:type="xsd:double"&gt;24.6437399172595&lt;/D&gt;&lt;D xsi:type="xsd:double"&gt;24.1239233043834&lt;/D&gt;&lt;D xsi:type="xsd:double"&gt;23.1952442942501&lt;/D&gt;&lt;D xsi:type="xsd:double"&gt;23.0228706498152&lt;/D&gt;&lt;D xsi:type="xsd:double"&gt;22.9966348598499&lt;/D&gt;&lt;D xsi:type="xsd:double"&gt;21.6315120742918&lt;/D&gt;&lt;D xsi:type="xsd:double"&gt;22.4351199202436&lt;/D&gt;&lt;D xsi:type="xsd:double"&gt;20.6175924586172&lt;/D&gt;&lt;D xsi:type="xsd:double"&gt;20.3883914011467&lt;/D&gt;&lt;D xsi:type="xsd:double</t>
        </r>
      </text>
    </comment>
    <comment ref="A21" authorId="0" shapeId="0" xr:uid="{C851DFF8-98F5-4277-993A-17A42D6AFFDF}">
      <text>
        <r>
          <rPr>
            <b/>
            <sz val="9"/>
            <color indexed="81"/>
            <rFont val="Tahoma"/>
            <charset val="1"/>
          </rPr>
          <t xml:space="preserve">"&gt;20.4435892927347&lt;/D&gt;&lt;D xsi:type="xsd:double"&gt;21.5563714927453&lt;/D&gt;&lt;D xsi:type="xsd:double"&gt;21.4046719031598&lt;/D&gt;&lt;D xsi:type="xsd:double"&gt;20.9650809174069&lt;/D&gt;&lt;D xsi:type="xsd:double"&gt;20.5073416691002&lt;/D&gt;&lt;D xsi:type="xsd:double"&gt;20.1395675843136&lt;/D&gt;&lt;D xsi:type="xsd:double"&gt;19.945219815098&lt;/D&gt;&lt;D xsi:type="xsd:double"&gt;19.596448764895&lt;/D&gt;&lt;D xsi:type="xsd:double"&gt;19.2051412223441&lt;/D&gt;&lt;D xsi:type="xsd:double"&gt;18.6249693385882&lt;/D&gt;&lt;D xsi:type="xsd:double"&gt;16.9567006352221&lt;/D&gt;&lt;D xsi:type="xsd:double"&gt;17.0495742169634&lt;/D&gt;&lt;D xsi:type="xsd:double"&gt;17.3468242656093&lt;/D&gt;&lt;D xsi:type="xsd:double"&gt;17.8494757382631&lt;/D&gt;&lt;D xsi:type="xsd:double"&gt;17.8250293750616&lt;/D&gt;&lt;D xsi:type="xsd:double"&gt;17.7733823720771&lt;/D&gt;&lt;D xsi:type="xsd:double"&gt;17.1874054081599&lt;/D&gt;&lt;D xsi:type="xsd:double"&gt;17.1727051228489&lt;/D&gt;&lt;D xsi:type="xsd:double"&gt;17.5256218216833&lt;/D&gt;&lt;D xsi:type="xsd:double"&gt;17.0685936270302&lt;/D&gt;&lt;D xsi:type="xsd:double"&gt;17.2565672628192&lt;/D&gt;&lt;D xsi:type="xsd:double"&gt;16.4721692759461&lt;/D&gt;&lt;D xsi:type="xsd:double"&gt;14.972946284731&lt;/D&gt;&lt;D xsi:type="xsd:double"&gt;14.5939063211697&lt;/D&gt;&lt;D xsi:type="xsd:double"&gt;15.5685394964164&lt;/D&gt;&lt;D xsi:type="xsd:double"&gt;15.557924931537&lt;/D&gt;&lt;D xsi:type="xsd:double"&gt;15.39552469785&lt;/D&gt;&lt;D xsi:type="xsd:double"&gt;15.484427202199&lt;/D&gt;&lt;D xsi:type="xsd:double"&gt;15.1167270784936&lt;/D&gt;&lt;D xsi:type="xsd:double"&gt;14.9624672257529&lt;/D&gt;&lt;D xsi:type="xsd:double"&gt;14.6912191136083&lt;/D&gt;&lt;D xsi:type="xsd:double"&gt;14.2115762417225&lt;/D&gt;&lt;D xsi:type="xsd:double"&gt;15.0868689841428&lt;/D&gt;&lt;D xsi:type="xsd:double"&gt;15.2751804814867&lt;/D&gt;&lt;D xsi:type="xsd:double"&gt;15.4673644804109&lt;/D&gt;&lt;D xsi:type="xsd:double"&gt;15.8668122854572&lt;/D&gt;&lt;D xsi:type="xsd:double"&gt;16.4627156908284&lt;/D&gt;&lt;D xsi:type="xsd:double"&gt;16.4643852442744&lt;/D&gt;&lt;D xsi:type="xsd:double"&gt;14.5237533233439&lt;/D&gt;&lt;D xsi:type="xsd:double"&gt;14.5430268600418&lt;/D&gt;&lt;D xsi:type="xsd:double"&gt;15.8969057177882&lt;/D&gt;&lt;D xsi:type="xsd:double"&gt;17.7186667772192&lt;/D&gt;&lt;D xsi:type="xsd:double"&gt;18.3317318200928&lt;/D&gt;&lt;D xsi:type="xsd:double"&gt;20.7644579329948&lt;/D&gt;&lt;D xsi:type="xsd:double"&gt;19.6504892768171&lt;/D&gt;&lt;D xsi:type="xsd:double"&gt;20.3865559063726&lt;/D&gt;&lt;D xsi:type="xsd:double"&gt;23.5153302564345&lt;/D&gt;&lt;D xsi:type="xsd:double"&gt;31.8160610631625&lt;/D&gt;&lt;D xsi:type="xsd:double"&gt;31.9158197203173&lt;/D&gt;&lt;D xsi:type="xsd:double"&gt;28.3133505685187&lt;/D&gt;&lt;D xsi:type="xsd:double"&gt;26.7951430972366&lt;/D&gt;&lt;D xsi:type="xsd:double"&gt;25.6531133073052&lt;/D&gt;&lt;D xsi:type="xsd:double"&gt;24.4850419679635&lt;/D&gt;&lt;D xsi:type="xsd:double"&gt;23.430771870608&lt;/D&gt;&lt;D xsi:type="xsd:double"&gt;21.7100532138271&lt;/D&gt;&lt;D xsi:type="xsd:double"&gt;20.5519000846685&lt;/D&gt;&lt;D xsi:type="xsd:double"&gt;19.1908132400132&lt;/D&gt;&lt;D xsi:type="xsd:double"&gt;17.689122745363&lt;/D&gt;&lt;D xsi:type="xsd:double"&gt;16.2141641129959&lt;/D&gt;&lt;D xsi:type="xsd:double"&gt;15.654731648184&lt;/D&gt;&lt;D xsi:type="xsd:double"&gt;15.1078078656631&lt;/D&gt;&lt;D xsi:type="xsd:double"&gt;14.9773460602333&lt;/D&gt;&lt;D xsi:type="xsd:double"&gt;15.0899650598723&lt;/D&gt;&lt;D xsi:type="xsd:double"&gt;14.9907831756682&lt;/D&gt;&lt;D xsi:type="xsd:double"&gt;14.5124469869537&lt;/D&gt;&lt;D xsi:type="xsd:double"&gt;13.8609256402419&lt;/D&gt;&lt;D xsi:type="xsd:double"&gt;13.5971571719994&lt;/D&gt;&lt;D xsi:type="xsd:double"&gt;13.5805476438682&lt;/D&gt;&lt;D xsi:type="xsd:double"&gt;12.9849697543167&lt;/D&gt;&lt;D xsi:type="xsd:double"&gt;12.9599906298978&lt;/D&gt;&lt;D xsi:type="xsd:double"&gt;13.6827809106345&lt;/D&gt;&lt;D xsi:type="xsd:double"&gt;13.1145975732093&lt;/D&gt;&lt;D xsi:type="xsd:double"&gt;13.8668818110403&lt;/D&gt;&lt;D xsi:type="xsd:double"&gt;14.5960320478619&lt;/D&gt;&lt;D xsi:type="xsd:double"&gt;14.451889593909&lt;/D&gt;&lt;D xsi:type="xsd:double"&gt;14.3625897566653&lt;/D&gt;&lt;D xsi:type="xsd:double"&gt;14.0810480808141&lt;/D&gt;&lt;D xsi:type="xsd:double"&gt;13.7708782780714&lt;/D&gt;&lt;D xsi:type="xsd:double"&gt;13.3945090094699&lt;/D&gt;&lt;D xsi:type="xsd:double"&gt;13.1611732409603&lt;/D&gt;&lt;D xsi:type="xsd:double"&gt;12.8500418491014&lt;/D&gt;&lt;D xsi:type="xsd:double"&gt;12.0554632327675&lt;/D&gt;&lt;D xsi:type="xsd:double"&gt;12.9454131224723&lt;/D&gt;&lt;D xsi:type="xsd:double"&gt;14.1544882729187&lt;/D&gt;&lt;D xsi:type="xsd:double"&gt;13.5783213750837&lt;/D&gt;&lt;D xsi:type="xsd:double"&gt;14.6998497277028&lt;/D&gt;&lt;D xsi:type="xsd:double"&gt;15.6707317169163&lt;/D&gt;&lt;D xsi:type="xsd:double"&gt;15.3840439063028&lt;/D&gt;&lt;D xsi:type="xsd:double"&gt;15.2811314479924&lt;/D&gt;&lt;D xsi:type="xsd:double"&gt;14.4958590968061&lt;/D&gt;&lt;D xsi:type="xsd:double"&gt;14.2277656815293&lt;/D&gt;&lt;/FQL&gt;&lt;FQL&gt;&lt;Q&gt;NI-FDS^FG_PRICE_CHANGE(0,-1AM)&lt;/Q&gt;&lt;R&gt;1&lt;/R&gt;&lt;C&gt;1&lt;/C&gt;&lt;D xsi:type="xsd:double"&gt;-5.20894643908181&lt;/D&gt;&lt;/FQL&gt;&lt;FQL&gt;&lt;Q&gt;FC0000IN^FG_PRICE(0)&lt;/Q&gt;&lt;R&gt;1&lt;/R&gt;&lt;C&gt;1&lt;/C&gt;&lt;D xsi:type="xsd:double"&gt;1440.8695&lt;/D&gt;&lt;/FQL&gt;&lt;FQL&gt;&lt;Q&gt;QAT^FG_PRICE(0)&lt;/Q&gt;&lt;R&gt;1&lt;/R&gt;&lt;C&gt;1&lt;/C&gt;&lt;D xsi:type="xsd:double"&gt;16.95&lt;/D&gt;&lt;/FQL&gt;&lt;FQL&gt;&lt;Q&gt;EWZ^FG_PRICE_MAVG(0,,,,30)&lt;/Q&gt;&lt;R&gt;1&lt;/R&gt;&lt;C&gt;1&lt;/C&gt;&lt;D xsi:type="xsd:double"&gt;28.056334&lt;/D&gt;&lt;/FQL&gt;&lt;FQL&gt;&lt;Q&gt;SET-BKK^P_PRICE(0)/P_PRICE_LOW_PR(0,,,,,,"PRICE","INTRA","52W")-1&lt;/Q&gt;&lt;R&gt;1&lt;/R&gt;&lt;C&gt;1&lt;/C&gt;&lt;D xsi:type="xsd:double"&gt;0.027514458&lt;/D&gt;&lt;/FQL&gt;&lt;FQL&gt;&lt;Q&gt;EWM^FMA_PCT_ABOVE_MAVG(200,0,,,,"PORTAGG")&lt;/Q&gt;&lt;R&gt;1&lt;/R&gt;&lt;C&gt;1&lt;/C&gt;&lt;D xsi:type="xsd:double"&gt;63.6363636363636&lt;/D&gt;&lt;/FQL&gt;&lt;FQL&gt;&lt;Q&gt;ECH^P_PRICE(0)/P_PRICE_HIGH_PR(0,,,,,,"PRICE","INTRA","52W")&lt;/Q&gt;&lt;R&gt;1&lt;/R&gt;&lt;C&gt;1&lt;/C&gt;&lt;D xsi:type="xsd:double"&gt;0.81846535&lt;/D&gt;&lt;/FQL&gt;&lt;FQL&gt;&lt;Q&gt;SPY^FG_TOTAL_RETURNC(0,-6AM)&lt;/Q&gt;&lt;R&gt;1&lt;/R&gt;&lt;C&gt;1&lt;/C&gt;&lt;D xsi:type="xsd:double"&gt;14.521599&lt;/D&gt;&lt;/FQL&gt;&lt;FQL&gt;&lt;Q&gt;SPY^PERCENT_CHANGE(FMA_EPS(+1,0,,,,"PORTAGG","MEAN"),FMA_EPS(+1,-3AM,,,,"PORTAGG","MEAN"))&lt;/Q&gt;&lt;R&gt;1&lt;/R&gt;&lt;C&gt;1&lt;/C&gt;&lt;D xsi:type="xsd:double"&gt;0.334772265837307&lt;/D&gt;&lt;/FQL&gt;&lt;FQL&gt;&lt;Q&gt;EWM^FMA_COS_UP("EPS","1M",+1,NOW,,,"PORTAGG","MEANR")&lt;/Q&gt;&lt;R&gt;1&lt;/R&gt;&lt;C&gt;1&lt;/C&gt;&lt;D xsi:type="xsd:double"&gt;10&lt;/D&gt;&lt;/FQL&gt;&lt;FQL&gt;&lt;Q&gt;CNYA^FMA_COS_UP("EPS","1M",+1,NOW,,,"PORTAGG","MEANR")&lt;/Q&gt;&lt;R&gt;1&lt;/R&gt;&lt;C&gt;1&lt;/C&gt;&lt;D xsi:type="xsd:double"&gt;128&lt;/D&gt;&lt;/FQL&gt;&lt;FQL&gt;&lt;Q&gt;EPHE^FMA_RBICS_REV_CURRENT(30, LOC, "PORTAGG")&lt;/Q&gt;&lt;R&gt;1&lt;/R&gt;&lt;C&gt;1&lt;/C&gt;&lt;D xsi:type="xsd:double"&gt;41.2458075501667&lt;/D&gt;&lt;/FQL&gt;&lt;FQL&gt;&lt;Q&gt;EWT^FG_ROE(0)&lt;/Q&gt;&lt;R&gt;1&lt;/R&gt;&lt;C&gt;1&lt;/C&gt;&lt;D xsi:type="xsd:double"&gt;10.3459134176363&lt;/D&gt;&lt;/FQL&gt;&lt;FQL&gt;&lt;Q&gt;REFVNDISC-FDS^PROPER_NAME(0,,,"SECURITY","NAME")&lt;/Q&gt;&lt;R&gt;1&lt;/R&gt;&lt;C&gt;1&lt;/C&gt;&lt;D xsi:type="xsd:string"&gt;Vietnam Discount Rate&lt;/D&gt;&lt;/FQL&gt;&lt;FQL&gt;&lt;Q&gt;REFINREPO-FDS^FG_YIELD(NOW,,,0)&lt;/Q&gt;&lt;R&gt;1&lt;/R&gt;&lt;C&gt;1&lt;/C&gt;&lt;D xsi:type="xsd:double"&gt;6.5&lt;/D&gt;&lt;/FQL&gt;&lt;FQL&gt;&lt;Q&gt;REFTWDISC-FDS^(SUBARRAY(NOT_NA(NO_REPEAT_F(FG_YIELD(NOW,-10AY,D))),0,1)-SUBARRAY(NOT_NA(NO_REPEAT_F(FG_YIELD(NOW,-10AY,D))),1,1))*100&lt;/Q&gt;&lt;R&gt;1&lt;/R&gt;&lt;C&gt;1&lt;/C&gt;&lt;D xsi:type="xsd:double"&gt;12.5&lt;/D&gt;&lt;/FQL&gt;&lt;FQL&gt;&lt;Q&gt;REFIDRREPO-FDS^PROPER_NAME(0,,,"SECURITY","NAME")&lt;/Q&gt;&lt;R&gt;1&lt;/R&gt;&lt;C&gt;1&lt;/C&gt;&lt;D xsi:type="xsd:string"&gt;Indonesia BI (Reverse) Repo Rate - 7 Day&lt;/D&gt;&lt;/FQL&gt;&lt;FQL&gt;&lt;Q&gt;TRYQA10Y-FDS^PCTCHG(FG_YIELD(0,,,,"YTM"),FG_YIELD(-3AM,,,,"YTM"))&lt;/Q&gt;&lt;R&gt;0&lt;/R&gt;&lt;C&gt;0&lt;/C&gt;&lt;/FQL&gt;&lt;FQL&gt;&lt;Q&gt;TRYTW10Y-FDS^PCTCHG(FG_YIELD(0,,,,"YTM"),FG_YIELD(-1AM,,,,"YTM"))&lt;/Q&gt;&lt;R&gt;1&lt;/R&gt;&lt;C&gt;1&lt;/C&gt;&lt;D xsi:type="xsd:double"&gt;-0.87777245&lt;/D&gt;&lt;/FQL&gt;&lt;FQL&gt;&lt;Q&gt;TRYZA10Y-FDS^FG_YIELD(0,,,,"YTM")&lt;/Q&gt;&lt;R&gt;1&lt;/R&gt;&lt;C&gt;1&lt;/C&gt;&lt;D xsi:type="xsd:double"&gt;11.040422&lt;/D&gt;&lt;/FQL&gt;&lt;FQL&gt;&lt;Q&gt;CC_BR^IMF_IFS_RCPI_Q(0)&lt;/Q&gt;&lt;R&gt;0&lt;/R&gt;&lt;C&gt;0&lt;/C&gt;&lt;/FQL&gt;&lt;FQL&gt;&lt;Q&gt;VWO^JULIAN(FMA_DIV_YLD(NTMA,NOW,NOW,M,"PORTAGG","MEANR").DATES)&lt;/Q&gt;&lt;R&gt;1&lt;/R&gt;&lt;C&gt;1&lt;/C&gt;&lt;D xsi:type="xsd:long"&gt;45443&lt;/D&gt;&lt;/FQL&gt;&lt;FQL&gt;&lt;Q&gt;VNM^FG_FCF_YIELD_NTM(0)&lt;/Q&gt;&lt;R&gt;1&lt;/R&gt;&lt;C&gt;1&lt;/C&gt;&lt;D xsi:type="xsd:double"&gt;1.74509092556622&lt;/D&gt;&lt;/FQL&gt;&lt;FQL&gt;&lt;Q&gt;TUR^FMA_PE(LTM,0,,,"PORTAGG","MEANR")&lt;/Q&gt;&lt;R&gt;1&lt;/R&gt;&lt;C&gt;1&lt;/C&gt;&lt;D xsi:type="xsd:double"&gt;9.35683412009507&lt;/D&gt;&lt;/FQL&gt;&lt;FQL&gt;&lt;Q&gt;MCHI^FMA_EVAL_EBITDA(NTMA,0,,,"PORTAGG","MEANR")&lt;/Q&gt;&lt;R&gt;1&lt;/R&gt;&lt;C&gt;1&lt;/C&gt;&lt;D xsi:type="xsd:double"&gt;8.39595750025532&lt;/D&gt;&lt;/FQL&gt;&lt;FQL&gt;&lt;Q&gt;GREK^FMA_PE(NTMA,0,,,"PORTAGG","MEANR")&lt;/Q&gt;&lt;R&gt;1&lt;/R&gt;&lt;C&gt;1&lt;/C&gt;&lt;D xsi:type="xsd:double"&gt;7.1803885922018&lt;/D&gt;&lt;/FQL&gt;&lt;FQL&gt;&lt;Q&gt;EWY^FMA_EVAL_EBIT(LTMA,NOW,NOW,M,"PORTAGG","MEANR")&lt;/Q&gt;&lt;R&gt;1&lt;/R&gt;&lt;C&gt;1&lt;/C&gt;&lt;D xsi:type="xsd:double"&gt;17.5116257748881&lt;/D&gt;&lt;/FQL&gt;&lt;FQL&gt;&lt;Q&gt;EWT^FMA_DIV_YLD(NTMA,NOW,NOW,M,"PORTAGG","MEANR")&lt;/Q&gt;&lt;R&gt;1&lt;/R&gt;&lt;C&gt;1&lt;/C&gt;&lt;D xsi:type="xsd:double"&gt;2.9759201638879&lt;/D&gt;&lt;/FQL&gt;&lt;FQL&gt;&lt;Q&gt;EPU^JULIAN(FMA_DIV_YLD(NTMA,NOW,NOW,M,"PORTAGG","MEANR").DATES)&lt;/Q&gt;&lt;R&gt;1&lt;/R&gt;&lt;C&gt;1&lt;/C&gt;&lt;D xsi:type="xsd:long"&gt;45471&lt;/D&gt;&lt;/FQL&gt;&lt;FQL&gt;&lt;Q&gt;EIDO^FG_FCF_YIELD_NTM(0)&lt;/Q&gt;&lt;R&gt;0&lt;/R&gt;&lt;C&gt;0&lt;/C&gt;&lt;/FQL&gt;&lt;FQL&gt;&lt;Q&gt;EWT^FG_COMPANY_NAME&lt;/Q&gt;&lt;R&gt;1&lt;/R&gt;&lt;C&gt;1&lt;/C&gt;&lt;D xsi:type="xsd:string"&gt;iShares MSCI Taiwan ETF&lt;/D&gt;&lt;/FQL&gt;&lt;FQL&gt;&lt;Q&gt;VNM^FG_PRICE_MAVG(0,,,,200)&lt;/Q&gt;&lt;R&gt;1&lt;/R&gt;&lt;C&gt;1&lt;/C&gt;&lt;D xsi:type="xsd:double"&gt;12.92075&lt;/D&gt;&lt;/FQL&gt;&lt;FQL&gt;&lt;Q&gt;EWZ^FG_PRICE(0)&lt;/Q&gt;&lt;R&gt;1&lt;/R&gt;&lt;C&gt;1&lt;/C&gt;&lt;D xsi:type="xsd:double"&gt;28&lt;/D&gt;&lt;/FQL&gt;&lt;FQL&gt;&lt;Q&gt;EPOL^FG_PRICE_MAVG(0,,,,200)&lt;/Q&gt;&lt;R&gt;1&lt;/R&gt;&lt;C&gt;1&lt;/C&gt;&lt;D xsi:type="xsd:double"&gt;22.66795&lt;/D&gt;&lt;/FQL&gt;&lt;FQL&gt;&lt;Q&gt;CNYA^FG_PRICE(0)&lt;/Q&gt;&lt;R&gt;1&lt;/R&gt;&lt;C&gt;1&lt;/C&gt;&lt;D xsi:type="xsd:double"&gt;25.88&lt;/D&gt;&lt;/FQL&gt;&lt;FQL&gt;&lt;Q&gt;UAE^FG_TOTAL_RETURNC(0,-12AM)&lt;/Q&gt;&lt;R&gt;1&lt;/R&gt;&lt;C&gt;1&lt;/C&gt;&lt;D xsi:type="xsd:double"&gt;-0.4089713&lt;/D&gt;&lt;/FQL&gt;&lt;FQL&gt;&lt;Q&gt;EWW^FMA_PCT_ABOVE_MAVG(200,0,,,,"PORTAGG")&lt;/Q&gt;&lt;R&gt;1&lt;/R&gt;&lt;C&gt;1&lt;/C&gt;&lt;D xsi:type="xsd:double"&gt;29.5454545454545&lt;/D&gt;&lt;/FQL&gt;&lt;FQL&gt;&lt;Q&gt;EPHE^P_PRICE(0)/P_PRICE_HIGH_PR(0,,,,,,"PRICE","INTRA","52W")&lt;/Q&gt;&lt;R&gt;1&lt;/R&gt;&lt;C&gt;1&lt;/C&gt;&lt;D xsi:type="xsd:double"&gt;0.91093695&lt;/D&gt;&lt;/FQL&gt;&lt;FQL&gt;&lt;Q&gt;EWJ^FMA_COS_DOWN("EPS","1M",+1,NOW,,,"PORTAGG","MEANR")&lt;/Q&gt;&lt;R&gt;1&lt;/R&gt;&lt;C&gt;1&lt;/C&gt;&lt;D xsi:type="xsd:double"&gt;63&lt;/D&gt;&lt;/FQL&gt;&lt;FQL&gt;&lt;Q&gt;UAE^FMA_COS_DOWN("EPS","1M",+1,NOW,,,"PORTAGG","MEANR")&lt;/Q&gt;&lt;R&gt;1&lt;/R&gt;&lt;C&gt;1&lt;/C&gt;&lt;D xsi:type="xsd:double"&gt;7&lt;/D&gt;&lt;/FQL&gt;&lt;FQL&gt;&lt;Q&gt;REFINREPO-FDS^PROPER_NAME(0,,,"SECURITY","NAME")&lt;/Q&gt;&lt;R&gt;1&lt;/R&gt;&lt;C&gt;1&lt;/C&gt;&lt;D xsi:type="xsd:string"&gt;India Repo Rate&lt;/D&gt;&lt;/FQL&gt;&lt;FQL&gt;&lt;Q&gt;CC_PE^FG_COMPANY_NAME&lt;/Q&gt;&lt;R&gt;1&lt;/R&gt;&lt;C&gt;1&lt;/C&gt;&lt;D xsi:type="xsd:string"&gt;Peru&lt;/D&gt;&lt;/FQL&gt;&lt;FQL&gt;&lt;Q&gt;USDTHB^STD(FG_PRICE_CHANGE(0,-1AY,AM))&lt;/Q&gt;&lt;R&gt;1&lt;/R&gt;&lt;C&gt;1&lt;/C&gt;&lt;D xsi:type="xsd:double"&gt;2.08706140539876&lt;/D&gt;&lt;/FQL&gt;&lt;FQL&gt;&lt;Q&gt;USDEUR^STD(FG_PRICE_CHANGE(0,-1AY,AM))&lt;/Q&gt;&lt;R&gt;1&lt;/R&gt;&lt;C&gt;1&lt;/C&gt;&lt;D xsi:type="xsd:double"&gt;1.83493322365618&lt;/D&gt;&lt;/FQL&gt;&lt;FQL&gt;&lt;Q&gt;USDPEN^STD(FG_PRICE_CHANGE(0,-1AY,AM))&lt;/Q&gt;&lt;R&gt;1&lt;/R&gt;&lt;C&gt;1&lt;/C&gt;&lt;D xsi:type="xsd:double"&gt;2.25793918540914&lt;/D&gt;&lt;/FQL&gt;&lt;FQL&gt;&lt;Q&gt;USDIDR^FG_COMPANY_NAME&lt;/Q&gt;&lt;R&gt;1&lt;/R&gt;&lt;C&gt;1&lt;/C&gt;&lt;D xsi:type="xsd:string"&gt;Indonesian Rupiah per U.S. Dollar&lt;/D&gt;&lt;/FQL&gt;&lt;FQL&gt;&lt;Q&gt;EWY^P_PRICE_RETURNS_PR('52W',2,-10AY,0,AM)&lt;/Q&gt;&lt;R&gt;121&lt;/R&gt;&lt;C&gt;1&lt;/C&gt;&lt;D xsi:type="xsd:double"&gt;19.885517&lt;/D&gt;&lt;D xsi:type="xsd:double"&gt;20.630718&lt;/D&gt;&lt;D xsi:type="xsd:double"&gt;0.5538821&lt;/D&gt;&lt;D xsi:type="xsd:double"&gt;-11.749506&lt;/D&gt;&lt;D xsi:type="xsd:double"&gt;-11.692762&lt;/D&gt;&lt;D xsi:type="xsd:double"&gt;-9.576863&lt;/D&gt;&lt;D xsi:type="xsd:double"&gt;-6.3290176&lt;/D&gt;&lt;D xsi:type="xsd:double"&gt;-5.292243&lt;/D&gt;&lt;D xsi:type="xsd:double"&gt;-1.5693784&lt;/D&gt;&lt;D xsi:type="xsd:double"&gt;-3.0418694&lt;/D&gt;&lt;D xsi:type="xsd:double"&gt;-7.6088486&lt;/D&gt;&lt;D xsi:type="xsd:double"&gt;-12.649345&lt;/D&gt;&lt;D xsi:type="xsd:double"&gt;-16.167486&lt;/D&gt;&lt;D xsi:type="xsd:double"&gt;-27.475649&lt;/D&gt;&lt;D xsi:type="xsd:double"&gt;-20.393068&lt;/D&gt;&lt;D xsi:type="xsd:double"&gt;-3.7881196&lt;/D&gt;&lt;D xsi:type="xsd:double"&gt;-4.6759844&lt;/D&gt;&lt;D xsi:type="xsd:double"&gt;-7.3113203&lt;/D&gt;&lt;D xsi:type="xsd:double"&gt;-14.814061&lt;/D&gt;&lt;D xsi:type="xsd:double"&gt;-14.328331&lt;/D&gt;&lt;D xsi:type="xsd:double"&gt;-7.9072237&lt;/D&gt;&lt;D xsi:type="xsd:double"&gt;-9.3714&lt;/D&gt;&lt;D xsi:type="xsd:double"&gt;-16.03297&lt;/D&gt;&lt;D xsi:type="xsd:double"&gt;-6.334609&lt;/D&gt;&lt;D xsi:type="xsd:double"&gt;4.305792&lt;/D&gt;&lt;D xsi:type="xsd:double"&gt;22.483194&lt;/D&gt;&lt;D xsi:type="xsd:double"&gt;14.1271&lt;/D&gt;&lt;D xsi:type="xsd:double"&gt;8.135593&lt;/D&gt;&lt;D xsi:type="xsd:double"&gt;2.215004&lt;/D&gt;&lt;D xsi:type="xsd:double"&gt;8.724344&lt;/D&gt;&lt;D xsi:type="xsd:double"&gt;21.477652&lt;/D&gt;&lt;D xsi:type="xsd:double"&gt;23.831345&lt;/D&gt;&lt;D xsi:type="xsd:double"&gt;18.697762&lt;/D&gt;&lt;D xsi:type="xsd:double"&gt;11.15836&lt;/D&gt;&lt;D xsi:type="xsd:double"&gt;38.30894&lt;/D&gt;&lt;D xsi:type="xsd:double"&gt;35.460114&lt;/D&gt;&lt;D xsi:type="xsd:double"&gt;32.651363&lt;/D&gt;&lt;D xsi:type="xsd:double"&gt;18.41452&lt;/D&gt;&lt;D xsi:type="xsd:double"&gt;27.252234&lt;/D&gt;&lt;D xsi:type="xsd:double"&gt;27.807463&lt;/D&gt;&lt;D xsi:type="xsd:double"&gt;47.2458&lt;/D&gt;&lt;D xsi:type="xsd:double"&gt;39.94447&lt;/D&gt;&lt;D xsi:type="xsd:double"&gt;42.451084&lt;/D&gt;&lt;D xsi:type="xsd:double"&gt;34.140278&lt;/D&gt;&lt;D xsi:type="xsd:double"&gt;25.772535&lt;/D&gt;&lt;D xsi:type="xsd:double"&gt;30.864847&lt;/D&gt;&lt;D xsi:type="xsd:double"&gt;14.816594&lt;/D&gt;&lt;D xsi:type="xsd:double"&gt;3.2916784&lt;/D&gt;&lt;D xsi:type="xsd:double"&gt;-4.9504876&lt;/D&gt;&lt;D xsi:type="xsd:double"&gt;-0.31349063&lt;/D&gt;&lt;D xsi:type="xsd:double"&gt;-2.1128356&lt;/D&gt;&lt;D xsi:type="xsd:double"&gt;-12.125522&lt;/D&gt;&lt;D xsi:type="xsd:double"&gt;-18.996483&lt;/D&gt;&lt;D xsi:type="xsd:double"&gt;-19.669384&lt;/D&gt;&lt;D xsi:type="xsd:double"&gt;-19.419039&lt;/D&gt;&lt;D xsi:type="xsd:double"&gt;-14.826012&lt;/D&gt;&lt;D xsi:type="xsd:double"&gt;-15.979773&lt;/D&gt;&lt;D xsi:type="xsd:double"&gt;-15.4082775&lt;/D&gt;&lt;D xsi:type="xsd:double"&gt;-23.37923&lt;/D&gt;&lt;D xsi:type="xsd:double"&gt;-12.341488&lt;/D&gt;&lt;D xsi:type="xsd:double"&gt;-10.357684&lt;/D&gt;&lt;D xsi:type="xsd:double"&gt;-18.265747&lt;/D&gt;&lt;D xsi:type="xsd:double"&gt;-13.454824&lt;/D&gt;&lt;D xsi:type="xsd:double"&gt;-3.6818087&lt;/D&gt;&lt;D xsi:type="xsd:double"&gt;2.6710272&lt;/D&gt;&lt;D xsi:type="xsd:double"&gt;8.874405&lt;/D&gt;&lt;D xsi:type="xsd:double"&gt;7.0317388&lt;/D&gt;&lt;D xsi:type="xsd:double"&gt;-1.9731283&lt;/D&gt;&lt;D xsi:type="xsd:double"&gt;-35.784702&lt;/D&gt;&lt;D xsi:type="xsd:double"&gt;-19.330042&lt;/D&gt;&lt;D xsi:type="xsd:double"&gt;-3.9689422&lt;/D&gt;&lt;D xsi:type="xsd:double"&gt;-1.2258291&lt;/D&gt;&lt;D xsi:type="xsd:double"&gt;6.597793&lt;/D&gt;&lt;D xsi:type="xsd:double"&gt;26.122416&lt;/D&gt;&lt;D xsi:type="xsd:double"&gt;18.475628&lt;/D&gt;&lt;D xsi:type="xsd:double"&gt;17.886364&lt;/D&gt;&lt;D xsi:type="xsd:double"&gt;25.502157&lt;/D&gt;&lt;D xsi:type="xsd:double"&gt;33.39188&lt;/D&gt;&lt;D xsi:type="xsd:double"&gt;45.764614&lt;/D&gt;&lt;D xsi:type="xsd:double"&gt;53.629124&lt;/D&gt;&lt;D xsi:type="xsd:double"&gt;129.66312&lt;/D&gt;&lt;D xsi:type="xsd:double"&gt;85.39221&lt;/D&gt;&lt;D xsi:type="xsd:double"&gt;74.74091&lt;/D&gt;&lt;D xsi:type="xsd:double"&gt;60.387505&lt;/D&gt;&lt;D xsi:type="xsd:double"&gt;50.22968&lt;/D&gt;&lt;D xsi:type="xsd:double"&gt;30.00164&lt;/D&gt;&lt;D xsi:type="xsd:double"&gt;26.032936&lt;/D&gt;&lt;D xsi:type="xsd:double"&gt;22.992218&lt;/D&gt;&lt;D xsi:type="xsd:double"&gt;5.948591&lt;/D&gt;&lt;D xsi:type="xsd:double"&gt;-1.7744005&lt;/D&gt;&lt;D xsi:type="xsd:double"&gt;-16.37569&lt;/D&gt;&lt;D xsi:type="xsd:double"&gt;-18.622541&lt;/D&gt;&lt;D xsi:type="xsd:double"&gt;-16.651768&lt;/D&gt;&lt;D xsi:type="xsd:double"&gt;-24.349112&lt;/D&gt;&lt;D xsi:type="xsd:double"&gt;-25.75673&lt;/D&gt;&lt;D xsi:type="xsd:double"&gt;-33.510445&lt;/D&gt;&lt;D xsi:type="xsd:double"&gt;-32.341164&lt;/D&gt;&lt;D xsi:type="xsd:double"&gt;-27.485012&lt;/D&gt;&lt;D xsi:type="xsd:double"&gt;-33.22307&lt;/D&gt;&lt;D xsi:type="xsd:double"&gt;-37.58831&lt;/D&gt;&lt;D xsi:type="xsd:double"&gt;-24.199509&lt;/D&gt;&lt;D xsi:type="xsd:double"&gt;-27.035433&lt;/D&gt;&lt;D xsi:type="xsd:double"&gt;-17.032385&lt;/D&gt;&lt;D xsi:type="xsd:double"&gt;-15.705853&lt;/D&gt;&lt;D xsi:type="xsd:double"&gt;-17.013395&lt;/D&gt;&lt;D xsi:type="xsd:double"&gt;-8.765906&lt;/D&gt;&lt;D xsi:type="xsd:double"&gt;-4.0890336&lt;/D&gt;&lt;D xsi:type="xsd:double"&gt;13.565075&lt;/D&gt;&lt;D xsi:type="xsd:double"&gt;15.732861&lt;/D&gt;&lt;D xsi:type="xsd:double"&gt;2.2591352&lt;/D&gt;&lt;D xsi:type="xsd:double"&gt;16.606987&lt;/D&gt;&lt;D xsi:type="xsd:double"&gt;17.862665&lt;/D&gt;&lt;D xsi:type="xsd:double"&gt;9.215164&lt;/D&gt;&lt;D xsi:type="xsd:double"&gt;14.580763&lt;/D&gt;&lt;D xsi:type="xsd:double"&gt;-2.1874547&lt;/D&gt;&lt;D xsi:type="xsd:double"&gt;7.191229&lt;/D&gt;&lt;D xsi:type="xsd:double"&gt;14.842308&lt;/D&gt;&lt;D xsi:type="xsd:double"&gt;0.9043217&lt;/D&gt;&lt;D xsi:type="xsd:double"&gt;10.607994&lt;/D&gt;&lt;D xsi:type="xsd:double"&gt;1.303649&lt;/D&gt;&lt;D xsi:type="xsd:double"&gt;-0.27382374&lt;/D&gt;&lt;/FQL&gt;&lt;FQL&gt;&lt;Q&gt;EPU^FMA_PE(NTMA,-10AY,0,AM,"PORTAGG","MEANR")&lt;/Q&gt;&lt;R&gt;121&lt;/R&gt;&lt;C&gt;1&lt;/C&gt;&lt;D xsi:type="xsd:double"&gt;14.5239967357745&lt;/D&gt;&lt;D xsi:type="xsd:double"&gt;13.6349362502704&lt;/D&gt;&lt;D xsi:type="xsd:double"&gt;13.3263259956638&lt;/D&gt;&lt;D xsi:type="xsd:double"&gt;12.1575138530307&lt;/D&gt;&lt;D xsi:type="xsd:double"&gt;12.0757053218389&lt;/D&gt;&lt;D xsi:type="xsd:double"&gt;12.2613872341701&lt;/D&gt;&lt;D xsi:type="xsd:double"&gt;12.5582121459658&lt;/D&gt;&lt;D xsi:type="xsd:double"&gt;13.2522173473668&lt;/D&gt;&lt;D xsi:type="xsd:double"&gt;12.5829166726792&lt;/D&gt;&lt;D xsi:type="xsd:double"&gt;12.1838625177633&lt;/D&gt;&lt;D xsi:type="xsd:double"&gt;13.2177984037524&lt;/D&gt;&lt;D xsi:type="xsd:double"&gt;13.9423059832671&lt;/D&gt;&lt;D xsi:type="xsd:double"&gt;12.8493209920303&lt;/D&gt;&lt;D xsi:type="xsd:double"&gt;11.2791908560433&lt;/D&gt;&lt;D xsi:type="xsd:double"&gt;11.3634821629682&lt;/D&gt;&lt;D xsi:type="xsd:double"&gt;7.95356438017978&lt;/D&gt;&lt;D xsi:type="xsd:double"&gt;7.87273624131774&lt;/D&gt;&lt;D xsi:type="xsd:double"&gt;7.30583113901386&lt;/D&gt;&lt;D xsi:type="xsd:double"&gt;10.401433776519&lt;/D&gt;&lt;D xsi:type="xsd:double"&gt;13.5263216512545&lt;/D&gt;&lt;D xsi:type="xsd:double"&gt;15.6329994083391&lt;/D&gt;&lt;D xsi:type="xsd:double"&gt;16.0849464430042&lt;/D&gt;&lt;D xsi:type="xsd:double"&gt;14.7363824482157&lt;/D&gt;&lt;D xsi:type="xsd:double"&gt;14.0697438389687&lt;/D&gt;&lt;D xsi:type="xsd:double"&gt;14.4361484834228&lt;/D&gt;&lt;D xsi:type="xsd:double"&gt;14.4673793152945&lt;/D&gt;&lt;D xsi:type="xsd:double"&gt;13.4966482228195&lt;/D&gt;&lt;D xsi:type="xsd:double"&gt;12.7151940919167&lt;/D&gt;&lt;D xsi:type="xsd:double"&gt;11.4716384611003&lt;/D&gt;&lt;D xsi:type="xsd:double"&gt;11.2464727072366&lt;/D&gt;&lt;D xsi:type="xsd:double"&gt;12.1010531924042&lt;/D&gt;&lt;D xsi:type="xsd:double"&gt;13.4655797606889&lt;/D&gt;&lt;D xsi:type="xsd:double"&gt;13.214772209906&lt;/D&gt;&lt;D xsi:type="xsd:double"&gt;11.8230906019023&lt;/D&gt;&lt;D xsi:type="xsd:double"&gt;12.007792518184&lt;/D&gt;&lt;D xsi:type="xsd:double"&gt;11.6781654043771&lt;/D&gt;&lt;D xsi:type="xsd:double"&gt;12.281586547078&lt;/D&gt;&lt;D xsi:type="xsd:double"&gt;12.9317477577759&lt;/D&gt;&lt;D xsi:type="xsd:double"&gt;12.9724340809405&lt;/D&gt;&lt;D xsi:type="xsd:double"&gt;13.2204402803162&lt;/D&gt;&lt;D xsi:type="xsd:double"&gt;12.7277031253839&lt;/D&gt;&lt;D xsi:type="xsd:double"&gt;12.4387277990695&lt;/D&gt;&lt;D xsi:type="xsd:double"&gt;14.2848228862126&lt;/D&gt;&lt;D xsi:type="xsd:double"&gt;13.2815173767912&lt;/D&gt;&lt;D xsi:type="xsd:double"&gt;13.4039569363136&lt;/D&gt;&lt;D xsi:type="xsd:double"&gt;14.1680006406953&lt;/D&gt;&lt;D xsi:type="xsd:double"&gt;13.4952712774455&lt;/D&gt;&lt;D xsi:type="xsd:double"&gt;13.6988009901015&lt;/D&gt;&lt;D xsi:type="xsd:double"&gt;13.1808253910558&lt;/D&gt;&lt;D xsi:type="xsd:double"&gt;13.4283440399409&lt;/D&gt;&lt;D xsi:type="xsd:double"&gt;12.8187128732693&lt;/D&gt;&lt;D xsi:type="xsd:double"&gt;12.8241317822276&lt;/D&gt;&lt;D xsi:type="xsd:double"&gt;13.3590285033783&lt;/D&gt;&lt;D xsi:type="xsd:double"&gt;13.0135883739078&lt;/D&gt;&lt;D xsi:type="xsd:double"&gt;14.6503471410212&lt;/D&gt;&lt;D xsi:type="xsd:double"&gt;15.9853105620102&lt;/D&gt;&lt;D xsi:type="xsd:double"&gt;15.7313455778938&lt;/D&gt;&lt;D xsi:type="xsd:double"&gt;14.8471684299111&lt;/D&gt;&lt;D xsi:type="xsd:double"&gt;13.0535405484165&lt;/D&gt;&lt;D xsi:type="xsd:double"&gt;13.2752670798703&lt;/D&gt;&lt;D xsi:type="xsd:double"&gt;14.9331511067327&lt;/D&gt;&lt;D xsi:type="xsd:double"&gt;14.2802223344261&lt;/D&gt;&lt;D xsi:type="xsd:double"&gt;14.0337968152836&lt;/D&gt;&lt;D xsi:type="xsd:double"&gt;13.8364766952678&lt;/D&gt;&lt;D xsi:type="xsd:double"&gt;13.7953036962335&lt;/D&gt;&lt;D xsi:type="xsd:double"&gt;14.9104735315916&lt;/D&gt;&lt;D xsi:type="xsd:double"&gt;14.7198817056571&lt;/D&gt;&lt;D xsi:type="xsd:double"&gt;14.7195105851537&lt;/D&gt;&lt;D xsi:type="xsd:double"&gt;10.0892117615383&lt;/D&gt;&lt;D xsi:type="xsd:double"&gt;11.8247854770358&lt;/D&gt;&lt;D xsi:type="xsd:double"&gt;15.9132919135172&lt;/D&gt;&lt;D xsi:type="xsd:double"&gt;19.5282744303132&lt;/D&gt;&lt;D xsi:type="xsd:double"&gt;19.5046385681064&lt;/D&gt;&lt;D xsi:type="xsd:double"&gt;22.881854026424&lt;/D&gt;&lt;D xsi:type="xsd:double"&gt;21.8643445735638&lt;/D&gt;&lt;D xsi:type="xsd:double"&gt;18.3511217189695&lt;/D&gt;&lt;D xsi:type="xsd:double"&gt;17.2875209102506&lt;/D&gt;&lt;D xsi:type="xsd:double"&gt;15.6606337945304&lt;/D&gt;&lt;D xsi:type="xsd:double"&gt;14.4839176265257&lt;/D&gt;&lt;D xsi:type="xsd:double"&gt;15.7328683071186&lt;/D&gt;&lt;D xsi:type="xsd:double"&gt;14.1070973845085&lt;/D&gt;&lt;D xsi:type="xsd:double"&gt;11.6390992181033&lt;/D&gt;&lt;D xsi:type="xsd:double"&gt;11.4225674914303&lt;/D&gt;&lt;D xsi:type="xsd:double"&gt;8.64615575066543&lt;/D&gt;&lt;D xsi:type="xsd:double"&gt;9.07853882034935&lt;/D&gt;&lt;D xsi:type="xsd:double"&gt;8.50912311206096&lt;/D&gt;&lt;D xsi:type="xsd:double"&gt;8.87907413791834&lt;/D&gt;&lt;D xsi:type="xsd:double"&gt;10.1556816864695&lt;/D&gt;&lt;D xsi:type="xsd:double"&gt;9.80898579638466&lt;/D&gt;&lt;D xsi:type="xsd:double"&gt;9.63620660744926&lt;/D&gt;&lt;D xsi:type="xsd:double"&gt;11.4907860896863&lt;/D&gt;&lt;D xsi:type="xsd:double"&gt;11.0342327955294&lt;/D&gt;&lt;D xsi:type="xsd:double"&gt;11.5300396028724&lt;/D&gt;&lt;D xsi:type="xsd:double"&gt;9.87008806573095&lt;/D&gt;&lt;D xsi:type="xsd:double"&gt;8.00369771588941&lt;/D&gt;&lt;D xsi:type="xsd:double"&gt;7.58271398342309&lt;/D&gt;&lt;D xsi:type="xsd:double"&gt;7.08194918298691&lt;/D&gt;&lt;D xsi:type="xsd:double"&gt;7.63533622075125&lt;/D&gt;&lt;D xsi:type="xsd:double"&gt;7.91362084486258&lt;/D&gt;&lt;D xsi:type="xsd:double"&gt;8.30600834282913&lt;/D&gt;&lt;D xsi:type="xsd:double"&gt;9.65796856663128&lt;/D&gt;&lt;D xsi:type="xsd:double"&gt;9.0272121702823&lt;/D&gt;&lt;D xsi:type="xsd:double"&gt;10.3797175624084&lt;/D&gt;&lt;D xsi:type="xsd:double"&gt;9.60747576324541&lt;/D&gt;&lt;D xsi:type="xsd:double"&gt;9.37285407771197&lt;/D&gt;&lt;D xsi:type="xsd:double"&gt;9.99716443328408&lt;/D&gt;&lt;D xsi:type="xsd:double"&gt;9.48926528557097&lt;/D&gt;&lt;D xsi:type="xsd:double"&gt;10.1732104717008&lt;/D&gt;&lt;D xsi:type="xsd:double"&gt;10.5585894755574&lt;/D&gt;&lt;D xsi:type="xsd:double"&gt;10.2466949942113&lt;/D&gt;&lt;D xsi:type="xsd:double"&gt;10.1541784198713&lt;/D&gt;&lt;D xsi:type="xsd:double"&gt;9.58124214572961&lt;/D&gt;&lt;D xsi:type="xsd:double"&gt;10.0713458850951&lt;/D&gt;&lt;D xsi:type="xsd:double"&gt;11.8337179672748&lt;/D&gt;&lt;D xsi:type="xsd:double"&gt;11.2169915574699&lt;/D&gt;&lt;D xsi:type="xsd:double"&gt;11.9521815793693&lt;/D&gt;&lt;D xsi:type="xsd:double"&gt;12.7433642693671&lt;/D&gt;&lt;D xsi:type="xsd:double"&gt;12.8871049984348&lt;/D&gt;&lt;D xsi:type="xsd:double"&gt;13.8929837323278&lt;/D&gt;&lt;D xsi:type="xsd:double"&gt;11.5805450345492&lt;/D&gt;&lt;D xsi:type="xsd:double"&gt;11.5339685123526&lt;/D&gt;&lt;/FQL&gt;&lt;FQL&gt;&lt;Q&gt;WL-FDS^FG_PRICE_CHANGE(0,-1AY)&lt;/Q&gt;&lt;R&gt;1&lt;/R&gt;&lt;C&gt;1&lt;/C&gt;&lt;D xsi:type="xsd:double"&gt;-19.9171352471145&lt;/D&gt;&lt;/FQL&gt;&lt;FQL&gt;&lt;Q&gt;W-FDS^FG_PRICE_CHANGE(0,-6AM)&lt;/Q&gt;&lt;R&gt;1&lt;/R&gt;&lt;C&gt;1&lt;/C&gt;&lt;D xsi:type="xsd:double"&gt;-8.51243152128107&lt;/D&gt;&lt;/FQL&gt;&lt;FQL&gt;&lt;Q&gt;COPP-FDS^FG_PRICE_MAVG(0,,,,30)&lt;/Q&gt;&lt;R&gt;1&lt;/R&gt;&lt;C&gt;1&lt;/C&gt;&lt;D xsi:type="xsd:double"&gt;4.4974&lt;/D&gt;&lt;/FQL&gt;&lt;FQL&gt;&lt;Q&gt;REFAEREPO-FDS^(SUBARRAY(NOT_NA(NO_REPEAT_F(FG_YIELD(NOW,-10AY,D))),0,1)-SUBARRAY(NOT_NA(NO_REPEAT_F(FG_YIELD(NOW,-10AY,D))),1,1))*100&lt;/Q&gt;&lt;R&gt;1&lt;/R&gt;&lt;C&gt;1&lt;/C&gt;&lt;D xsi:type="xsd:double"&gt;25&lt;/D&gt;&lt;/FQL&gt;&lt;FQL&gt;&lt;Q&gt;TRYQA10Y-FDS^PCTCHG(FG_YIELD(0,,,,"YTM"),FG_YIELD(-1AM,,,,"YTM"))&lt;/Q&gt;&lt;R&gt;0&lt;/R&gt;&lt;C&gt;0&lt;/C&gt;&lt;/FQL&gt;&lt;FQL&gt;&lt;Q&gt;CAGDPY@GR^EE_ACTUAL_ANNUAL(MED,0)&lt;/Q&gt;&lt;R&gt;1&lt;/R&gt;&lt;C&gt;1&lt;/C&gt;&lt;D xsi:type="xsd:double"&gt;-6.34898385694549&lt;/D&gt;&lt;/FQL&gt;&lt;FQL&gt;&lt;Q&gt;USDMXN^STD(FG_PRICE_CHANGE(0,-3AY,M))&lt;/Q&gt;&lt;R&gt;1&lt;/R&gt;&lt;C&gt;1&lt;/C&gt;&lt;D xsi:type="xsd:double"&gt;2.65381386437988&lt;/D&gt;&lt;/FQL&gt;&lt;FQL&gt;&lt;Q&gt;FC0000BR^FMA_EPS(NTMA,-20AY,0,CY,,"PORTAGG","MEANR")&lt;/Q&gt;&lt;R&gt;20&lt;/R&gt;&lt;C&gt;1&lt;/C&gt;&lt;D xsi:type="xsd:double"&gt;15.9634949001004&lt;/D&gt;&lt;D xsi:type="xsd:double"&gt;22.2696791655794&lt;/D&gt;&lt;D xsi:type="xsd:double"&gt;25.3174251708984&lt;/D&gt;&lt;D xsi:type="xsd:double"&gt;34.9736621173337&lt;/D&gt;&lt;D xsi:type="xsd:double"&gt;24.6574673527732&lt;/D&gt;&lt;D xsi:type="xsd:double"&gt;33.0231081589585&lt;/D&gt;&lt;D xsi:type="xsd:double"&gt;41.0114711872356&lt;/D&gt;&lt;D xsi:type="xsd:double"&gt;37.007882634304&lt;/D&gt;&lt;D xsi:type="xsd:double"&gt;30.1094290911466&lt;/D&gt;&lt;D xsi:type="xsd:double"&gt;25.6248810860719&lt;/D&gt;&lt;D xsi:type="xsd:double"&gt;21.0352241233002&lt;/D&gt;&lt;D xsi:type="xsd:double"&gt;13.1501919917959&lt;/D&gt;&lt;D xsi:type="xsd:double"&gt;17.125192658189&lt;/D&gt;&lt;D xsi:type="xsd:double"&gt;19.0183216245735&lt;/D&gt;&lt;D xsi:type="xsd:double"&gt;20.4219604225124&lt;/D&gt;&lt;D xsi:type="xsd:double"&gt;20.1300197155733&lt;/D&gt;&lt;D xsi:type="xsd:double"&gt;14.9311683589006&lt;/D&gt;&lt;D xsi:type="xsd:double"&gt;18.5635370348515&lt;/D&gt;&lt;D xsi:type="xsd:double"&gt;21.0634099869516&lt;/D&gt;&lt;D xsi:type="xsd:double"&gt;24.0472703068831&lt;/D&gt;&lt;/FQL&gt;&lt;FQL&gt;&lt;Q&gt;EWM^FG_TOTAL_RETURNC(-10AY,0,AM)&lt;/Q&gt;&lt;R&gt;121&lt;/R&gt;&lt;C&gt;1&lt;/C&gt;&lt;D xsi:type="xsd:double"&gt;0.646317&lt;/D&gt;&lt;D xsi:type="xsd:double"&gt;1.564455&lt;/D&gt;&lt;D xsi:type="xsd:double"&gt;-4.5594573&lt;/D&gt;&lt;D xsi:type="xsd:double"&gt;-3.9380252&lt;/D&gt;&lt;D xsi:type="xsd:double"&gt;-0.5376339&lt;/D&gt;&lt;D xsi:type="xsd:double"&gt;-8.167678&lt;/D&gt;&lt;D xsi:type="xsd:double"&gt;-0.15026927&lt;/D&gt;&lt;D xsi:type="xsd:double"&gt;0.6019592&lt;/D&gt;&lt;D xsi:type="xsd:double"&gt;-2.3934186&lt;/D&gt;&lt;D xsi:type="xsd:double"&gt;4.9042106&lt;/D&gt;&lt;D xsi:type="xsd:double"&gt;-1.2417734&lt;/D&gt;&lt;D xsi:type="xsd:double"&gt;-8.505922&lt;/D&gt;&lt;D xsi:type="xsd:double"&gt;-0.3294289&lt;/D&gt;&lt;D xsi:type="xsd:double"&gt;-17.009037&lt;/D&gt;&lt;D xsi:type="xsd:double"&gt;3.8613796&lt;/D&gt;&lt;D xsi:type="xsd:double"&gt;2.4785519&lt;/D&gt;&lt;D xsi:type="xsd:double"&gt;-3.2558203&lt;/D&gt;&lt;D xsi:type="xsd:double"&gt;-1.2499928&lt;/D&gt;&lt;D xsi:type="xsd:double"&gt;-3.7237227&lt;/D&gt;&lt;D xsi:type="xsd:double"&gt;8.8275795&lt;/D&gt;&lt;D xsi:type="xsd:double"&gt;7.85805&lt;/D&gt;&lt;D xsi:type="xsd:double"&gt;5.522907&lt;/D&gt;&lt;D xsi:type="xsd:double"&gt;-10.801774&lt;/D&gt;&lt;D xsi:type="xsd:double"&gt;-0.62422156&lt;/D&gt;&lt;D xsi:type="xsd:double"&gt;5.623269&lt;/D&gt;&lt;D xsi:type="xsd:double"&gt;1.566267&lt;/D&gt;&lt;D xsi:type="xsd:double"&gt;-4.982209&lt;/D&gt;&lt;D xsi:type="xsd:double"&gt;0.7490516&lt;/D&gt;&lt;D xsi:type="xsd:double"&gt;-8.364307&lt;/D&gt;&lt;D xsi:type="xsd:double"&gt;-1.1156201&lt;/D&gt;&lt;D xsi:type="xsd:double"&gt;2.8828025&lt;/D&gt;&lt;D xsi:type="xsd:double"&gt;2.9166698&lt;/D&gt;&lt;D xsi:type="xsd:double"&gt;3.1713963&lt;/D&gt;&lt;D xsi:type="xsd:double"&gt;0.13080835&lt;/D&gt;&lt;D xsi:type="xsd:double"&gt;4.9640656&lt;/D&gt;&lt;D xsi:type="xsd:double"&gt;1.8668413&lt;/D&gt;&lt;D xsi:type="xsd:double"&gt;-2.0807505&lt;/D&gt;&lt;D xsi:type="xsd:double"&gt;0.6307125&lt;/D&gt;&lt;D xsi:type="xsd:double"&gt;2.8204322&lt;/D&gt;&lt;D xsi:type="xsd:double"&gt;-2.072537&lt;/D&gt;&lt;D xsi:type="xsd:double"&gt;0.34235716&lt;/D&gt;&lt;D xsi:type="xsd:double"&gt;3.196025&lt;/D&gt;&lt;D xsi:type="xsd:double"&gt;10.163617&lt;/D&gt;&lt;D xsi:type="xsd:double"&gt;1.5995502&lt;/D&gt;&lt;D xsi:type="xsd:double"&gt;-1.5743613&lt;/D&gt;&lt;D xsi:type="xsd:double"&gt;3.8274765&lt;/D&gt;&lt;D xsi:type="xsd:double"&gt;-5.4745493&lt;/D&gt;&lt;D xsi:type="xsd:double"&gt;-5.776179&lt;/D&gt;&lt;D xsi:type="xsd:double"&gt;0.9451866&lt;/D&gt;&lt;D xsi:type="xsd:double"&gt;0.99874735&lt;/D&gt;&lt;D xsi:type="xsd:double"&gt;0.77255964&lt;/D&gt;&lt;D xsi:type="xsd:double"&gt;-5.734438&lt;/D&gt;&lt;D xsi:type="xsd:double"&gt;-1.2687027&lt;/D&gt;&lt;D xsi:type="xsd:double"&gt;-4.501647&lt;/D&gt;&lt;D xsi:type="xsd:double"&gt;7.1629286&lt;/D&gt;&lt;D xsi:type="xsd:double"&gt;1.5072107&lt;/D&gt;&lt;D xsi:type="xsd:double"&gt;-0.48418045&lt;/D&gt;&lt;D xsi:type="xsd:double"&gt;-5.3519306&lt;/D&gt;&lt;D xsi:type="xsd:double"&gt;-2.5702536&lt;/D&gt;&lt;D xsi:type="xsd:double"&gt;5.484462&lt;/D&gt;&lt;D xsi:type="xsd:double"&gt;0.33944845&lt;/D&gt;&lt;D xsi:type="xsd:double"&gt;-5.6495247&lt;/D&gt;&lt;D xsi:type="xsd:double"&gt;0.5019784&lt;/D&gt;&lt;D xsi:type="xsd:double"&gt;-0.7492006&lt;/D&gt;&lt;D xsi:type="xsd:double"&gt;2.1567225&lt;/D&gt;&lt;D xsi:type="xsd:double"&gt;0.27017593&lt;/D&gt;&lt;D xsi:type="xsd:double"&gt;2.3066044&lt;/D&gt;&lt;D xsi:type="xsd:double"&gt;-7.3187647&lt;/D&gt;&lt;D xsi:type="xsd:double"&gt;-28.218561&lt;/D&gt;&lt;D xsi:type="xsd:double"&gt;22.992695&lt;/D&gt;&lt;D xsi:type="xsd:double"&gt;2.416277&lt;/D&gt;&lt;D xsi:type="xsd:double"&gt;7.2846293&lt;/D&gt;&lt;D xsi:type="xsd:double"&gt;7.4468136&lt;/D&gt;&lt;D xsi:type="xsd:double"&gt;-0.073343515&lt;/D&gt;&lt;D xsi:type="xsd:double"&gt;-4.146785&lt;/D&gt;&lt;D xsi:type="xsd:double"&gt;2.3736596&lt;/D&gt;&lt;D xsi:type="xsd:double"&gt;2.9169798&lt;/D&gt;&lt;D xsi:type="xsd:double"&gt;5.8502913&lt;/D&gt;&lt;D xsi:type="xsd:double"&gt;-4.39409&lt;/D&gt;&lt;D xsi:type="xsd:double"&gt;-0.861758&lt;/D&gt;&lt;D xsi:type="xsd:double"&gt;1.8471599&lt;/D&gt;&lt;D xsi:type="xsd:double"&gt;-1.6714096&lt;/D&gt;&lt;D xsi:type="xsd:double"&gt;-1.2658238&lt;/D&gt;&lt;D xsi:type="xsd:double"&gt;-0.4774809&lt;/D&gt;&lt;D xsi:type="xsd:double"&gt;-5.9984803&lt;/D&gt;&lt;D xsi:type="xsd:double"&gt;-0.36349297&lt;/D&gt;&lt;D xsi:type="xsd:double"&gt;3.8913608&lt;/D&gt;&lt;D xsi:type="xsd:double"&gt;5.189228&lt;/D&gt;&lt;D xsi:type="xsd:double"&gt;-6.6765547&lt;/D&gt;&lt;D xsi:type="xsd:double"&gt;-2.7066529&lt;/D&gt;&lt;D xsi:type="xsd:double"&gt;3.628683&lt;/D&gt;&lt;D xsi:type="xsd:double"&gt;4.478824&lt;/D&gt;&lt;D xsi:type="xsd:double"&gt;-0.038969517&lt;/D&gt;&lt;D xsi:type="xsd:double"&gt;-1.1305988&lt;/D&gt;&lt;D xsi:type="xsd:double"&gt;-5.4810762&lt;/D&gt;&lt;D xsi:type="xsd:double"&gt;-6.8102837&lt;/D&gt;&lt;D xsi:type="xsd:double"&gt;-1.4618516&lt;/D&gt;&lt;D xsi:type="xsd:double"&gt;4.126096&lt;/D&gt;&lt;D xsi:type="xsd:double"&gt;-4.140687&lt;/D&gt;&lt;D xsi:type="xsd:double"&gt;-6.223875&lt;/D&gt;&lt;D xsi:type="xsd:double"&gt;7.231295&lt;/D&gt;&lt;D xsi:type="xsd:double"&gt;4.5124054&lt;/D&gt;&lt;D xsi:type="xsd:double"&gt;5.31013&lt;/D&gt;&lt;D xsi:type="xsd:double"&gt;-4.4491587&lt;/D&gt;&lt;D xsi:type="xsd:double"&gt;-5.277157&lt;/D&gt;&lt;D xsi:type="xsd:double"&gt;3.2771468&lt;/D&gt;&lt;D xsi:type="xsd:double"&gt;-2.2212148&lt;/D&gt;&lt;D xsi:type="xsd:double"&gt;-3.9493382&lt;/D&gt;&lt;D xsi:type="xsd:double"&gt;2.8009772&lt;/D&gt;&lt;D xsi:type="xsd:double"&gt;0.047802925&lt;/D&gt;&lt;D xsi:type="xsd:double"&gt;0.9555578&lt;/D&gt;&lt;D xsi:type="xsd:double"&gt;-2.3663044&lt;/D&gt;&lt;D xsi:type="xsd:double"&gt;3.4900665&lt;/D&gt;&lt;D xsi:type="xsd:double"&gt;0.8430958&lt;/D&gt;&lt;D xsi:type="xsd:double"&gt;-0.69042444&lt;/D&gt;&lt;D xsi:type="xsd:double"&gt;1.8562555&lt;/D&gt;&lt;D xsi:type="xsd:double"&gt;2.4299145&lt;/D&gt;&lt;D xsi:type="xsd:double"&gt;-0.72992444&lt;/D&gt;&lt;D xsi:type="xsd:double"&gt;6.985295&lt;/D&gt;&lt;D xsi:type="xsd:double"&gt;-0.31858087&lt;/D&gt;&lt;D xsi:type="xsd:double"&gt;1.926446&lt;/D&gt;&lt;/FQL&gt;&lt;FQL&gt;&lt;Q&gt;EWM^FMA_DIV_YLD(NTMA,-10AY,0,AM,"PORTAGG","MEANR")&lt;/Q&gt;&lt;R&gt;121&lt;/R&gt;&lt;C&gt;1&lt;/C&gt;&lt;D xsi:type="xsd:double"&gt;3.16335676240878&lt;/D&gt;&lt;D xsi:type="xsd:double"&gt;3.14242652822371&lt;/D&gt;&lt;D xsi:type="xsd:double"&gt;3.19761773436609&lt;/D&gt;&lt;D xsi:type="xsd:double"&gt;3.32039955973404&lt;/D&gt;&lt;D xsi:type="xsd:double"&gt;3.22116009706927&lt;/D&gt;&lt;D xsi:type="xsd:double"&gt;3.38713131496128&lt;/D&gt;&lt;D xsi:type="xsd:double"&gt;3.33722156553257&lt;/D&gt;&lt;D xsi:type="xsd:double"&gt;3.20596989234648&lt;/D&gt;&lt;D xsi:type="xsd:double"&gt;3.2003902386808&lt;/D&gt;&lt;D xsi:type="xsd:double"&gt;3.11955202298514&lt;/D&gt;&lt;D xsi:type="xsd:double"&gt;3.16113049779294&lt;/D&gt;&lt;D xsi:type="xsd:double"&gt;3.25987452099177&lt;/D&gt;&lt;D xsi:type="xsd:double"&gt;3.26838939866335&lt;/D&gt;&lt;D xsi:type="xsd:double"&gt;3.56086360364261&lt;/D&gt;&lt;D xsi:type="xsd:double"&gt;3.32251854989881&lt;/D&gt;&lt;D xsi:type="xsd:double"&gt;3.23591111128928&lt;/D&gt;&lt;D xsi:type="xsd:double"&gt;3.32996441029046&lt;/D&gt;&lt;D xsi:type="xsd:double"&gt;3.32358663965764&lt;/D&gt;&lt;D xsi:type="xsd:double"&gt;3.3679724413229&lt;/D&gt;&lt;D xsi:type="xsd:double"&gt;3.19972556802895&lt;/D&gt;&lt;D xsi:type="xsd:double"&gt;3.06189376987345&lt;/D&gt;&lt;D xsi:type="xsd:double"&gt;3.07183885174224&lt;/D&gt;&lt;D xsi:type="xsd:double"&gt;3.20919715684633&lt;/D&gt;&lt;D xsi:type="xsd:double"&gt;3.11021324790033&lt;/D&gt;&lt;D xsi:type="xsd:double"&gt;2.99761054084539&lt;/D&gt;&lt;D xsi:type="xsd:double"&gt;2.94158559015759&lt;/D&gt;&lt;D xsi:type="xsd:double"&gt;2.98463717286118&lt;/D&gt;&lt;D xsi:type="xsd:double"&gt;2.9396107180635&lt;/D&gt;&lt;D xsi:type="xsd:double"&gt;3.03990726498964&lt;/D&gt;&lt;D xsi:type="xsd:double"&gt;3.025894128502&lt;/D&gt;&lt;D xsi:type="xsd:double"&gt;3.00649531464822&lt;/D&gt;&lt;D xsi:type="xsd:double"&gt;2.97325093281369&lt;/D&gt;&lt;D xsi:type="xsd:double"&gt;2.94845784079571&lt;/D&gt;&lt;D xsi:type="xsd:double"&gt;2.99874004529295&lt;/D&gt;&lt;D xsi:type="xsd:double"&gt;2.96295537193114&lt;/D&gt;&lt;D xsi:type="xsd:double"&gt;2.9996725755969&lt;/D&gt;&lt;D xsi:type="xsd:double"&gt;3.05817477001831&lt;/D&gt;&lt;D xsi:type="xsd:double"&gt;3.03402505619367&lt;/D&gt;&lt;D xsi:type="xsd:double"&gt;3.0219700608329&lt;/D&gt;&lt;D xsi:type="xsd:double"&gt;3.11205964557822&lt;/D&gt;&lt;D xsi:type="xsd:double"&gt;3.27652337705327&lt;/D&gt;&lt;D xsi:type="xsd:double"&gt;3.25259353539436&lt;/D&gt;&lt;D xsi:type="xsd:double"&gt;3.12012894246232&lt;/D&gt;&lt;D xsi:type="xsd:double"&gt;3.12739410808487&lt;/D&gt;&lt;D xsi:type="xsd:double"&gt;3.20514129346069&lt;/D&gt;&lt;D xsi:type="xsd:double"&gt;3.13606426985241&lt;/D&gt;&lt;D xsi:type="xsd:double"&gt;3.21354602640222&lt;/D&gt;&lt;D xsi:type="xsd:double"&gt;3.32163205706488&lt;/D&gt;&lt;D xsi:type="xsd:double"&gt;3.24275309504038&lt;/D&gt;&lt;D xsi:type="xsd:double"&gt;3.21645893118106&lt;/D&gt;&lt;D xsi:type="xsd:double"&gt;3.20186973362738&lt;/D&gt;&lt;D xsi:type="xsd:double"&gt;3.3665673889093&lt;/D&gt;&lt;D xsi:type="xsd:double"&gt;3.35981085255347&lt;/D&gt;&lt;D xsi:type="xsd:double"&gt;3.36060221095973&lt;/D&gt;&lt;D xsi:type="xsd:double"&gt;3.26177528153897&lt;/D&gt;&lt;D xsi:type="xsd:double"&gt;3.2477835335398&lt;/D&gt;&lt;D xsi:type="xsd:double"&gt;3.30959120840373&lt;/D&gt;&lt;D xsi:type="xsd:double"&gt;3.43011023912412&lt;/D&gt;&lt;D xsi:type="xsd:double"&gt;3.48138682310234&lt;/D&gt;&lt;D xsi:type="xsd:double"&gt;3.44784572697541&lt;/D&gt;&lt;D xsi:type="xsd:double"&gt;3.43796892750064&lt;/D&gt;&lt;D xsi:type="xsd:double"&gt;3.50717032690198&lt;/D&gt;&lt;D xsi:type="xsd:double"&gt;3.51908254709367&lt;/D&gt;&lt;D xsi:type="xsd:double"&gt;3.56058919570672&lt;/D&gt;&lt;D xsi:type="xsd:double"&gt;3.46092770489008&lt;/D&gt;&lt;D xsi:type="xsd:double"&gt;3.46666653283003&lt;/D&gt;&lt;D xsi:type="xsd:double"&gt;3.4776179405806&lt;/D&gt;&lt;D xsi:type="xsd:double"&gt;3.62601000503168&lt;/D&gt;&lt;D xsi:type="xsd:double"&gt;4.52292875254458&lt;/D&gt;&lt;D xsi:type="xsd:double"&gt;3.79158809559411&lt;/D&gt;&lt;D xsi:type="xsd:double"&gt;3.60281933054107&lt;/D&gt;&lt;D xsi:type="xsd:double"&gt;3.13691962550093&lt;/D&gt;&lt;D xsi:type="xsd:double"&gt;3.01159806566556&lt;/D&gt;&lt;D xsi:type="xsd:double"&gt;3.12971660515791&lt;/D&gt;&lt;D xsi:type="xsd:double"&gt;3.31059811467347&lt;/D&gt;&lt;D xsi:type="xsd:double"&gt;3.25717871763045&lt;/D&gt;&lt;D xsi:type="xsd:double"&gt;3.43728314990189&lt;/D&gt;&lt;D xsi:type="xsd:double"&gt;3.52123044183201&lt;/D&gt;&lt;D xsi:type="xsd:double"&gt;3.72088221404609&lt;/D&gt;&lt;D xsi:type="xsd:double"&gt;3.87956392645923&lt;/D&gt;&lt;D xsi:type="xsd:double"&gt;3.9631030470595&lt;/D&gt;&lt;D xsi:type="xsd:double"&gt;3.98914377984156&lt;/D&gt;&lt;D xsi:type="xsd:double"&gt;4.04395054664865&lt;/D&gt;&lt;D xsi:type="xsd:double"&gt;4.08307767919216&lt;/D&gt;&lt;D xsi:type="xsd:double"&gt;4.23789697128422&lt;/D&gt;&lt;D xsi:type="xsd:double"&gt;4.19982323563229&lt;/D&gt;&lt;D xsi:type="xsd:double"&gt;4.0275398182279&lt;/D&gt;&lt;D xsi:type="xsd:double"&gt;3.85784248026029&lt;/D&gt;&lt;D xsi:type="xsd:double"&gt;3.97893096477321&lt;/D&gt;&lt;D xsi:type="xsd:double"&gt;3.8899839430961&lt;/D&gt;&lt;D xsi:type="xsd:double"&gt;3.83051276222858&lt;/D&gt;&lt;D xsi:type="xsd:double"&gt;3.74794527755405&lt;/D&gt;&lt;D xsi:type="xsd:double"&gt;3.7968014489606&lt;/D&gt;&lt;D xsi:type="xsd:double"&gt;3.87392863070208&lt;/D&gt;&lt;D xsi:type="xsd:double"&gt;3.9976715367445&lt;/D&gt;&lt;D xsi:type="xsd:double"&gt;4.18764858043459&lt;/D&gt;&lt;D xsi:type="xsd:double"&gt;4.22904127619518&lt;/D&gt;&lt;D xsi:type="xsd:double"&gt;4.04489943102342&lt;/D&gt;&lt;D xsi:type="xsd:double"&gt;4.24044233133328&lt;/D&gt;&lt;D xsi:type="xsd:double"&gt;4.37216788328328&lt;/D&gt;&lt;D xsi:type="xsd:double"&gt;4.25464269602814&lt;/D&gt;&lt;D xsi:type="xsd:double"&gt;4.21930838588482&lt;/D&gt;&lt;D xsi:type="xsd:double"&gt;4.17606282827492&lt;/D&gt;&lt;D xsi:type="xsd:double"&gt;4.26347902490129&lt;/D&gt;&lt;D xsi:type="xsd:double"&gt;4.48792096505664&lt;/D&gt;&lt;D xsi:type="xsd:double"&gt;4.41675899380065&lt;/D&gt;&lt;D xsi:type="xsd:double"&gt;4.39199659111644&lt;/D&gt;&lt;D xsi:type="xsd:double"&gt;4.41759034542153&lt;/D&gt;&lt;D xsi:type="xsd:double"&gt;4.3917388668279&lt;/D&gt;&lt;D xsi:type="xsd:double"&gt;4.27812633795245&lt;/D&gt;&lt;D xsi:type="xsd:double"&gt;4.26898766317787&lt;/D&gt;&lt;D xsi:type="xsd:double"&gt;4.30900359670569&lt;/D&gt;&lt;D xsi:type="xsd:double"&gt;4.26794204992551&lt;/D&gt;&lt;D xsi:type="xsd:double"&gt;4.27034304974355&lt;/D&gt;&lt;D xsi:type="xsd:double"&gt;4.28556495841248&lt;/D&gt;&lt;D xsi:type="xsd:double"&gt;4.17048537082839&lt;/D&gt;&lt;D xsi:type="xsd:double"&gt;4.14764156143207&lt;/D&gt;&lt;D xsi:type="xsd:double"&gt;4.16672865767963&lt;/D&gt;&lt;D xsi:type="xsd:double"&gt;4.03328034577539&lt;/D&gt;&lt;D xsi:type="xsd:double"&gt;4.08081371564944&lt;/D&gt;&lt;D xsi:type="xsd:double"&gt;4.03305417177637&lt;/D&gt;&lt;/FQL&gt;&lt;FQL&gt;&lt;Q&gt;EWT^FMA_PE(LTMA,-10AY,0,AM,"PORTAGG","MEANR")&lt;/Q&gt;&lt;R&gt;121&lt;/R&gt;&lt;C&gt;1&lt;/C&gt;&lt;D xsi:type="xsd:double"&gt;15.3465668149565&lt;/D&gt;&lt;D xsi:type="xsd:double"&gt;14.9950268783631&lt;/D&gt;&lt;D xsi:type="xsd:double"&gt;14.7330379869136&lt;/D&gt;&lt;D xsi:type="xsd:double"&gt;13.7068439159322&lt;/D&gt;&lt;D xsi:type="xsd:double"&gt;14.0130668770047&lt;/D&gt;&lt;D xsi:type="xsd:double"&gt;13.6370688863282&lt;/D&gt;&lt;D xsi:type="xsd:double"&gt;13.7528343719015&lt;/D&gt;&lt;D xsi:type="xsd:double"&gt;14.2783421661859&lt;/D&gt;&lt;D xsi:type="xsd:double"&gt;14.2866893139286&lt;/D&gt;&lt;D xsi:type="xsd:double"&gt;14.0802549345719&lt;/D&gt;&lt;D xsi:type="xsd:double"&gt;14.0908296252009&lt;/D&gt;&lt;D xsi:type="xsd:double"&gt;13.7689706069436&lt;/D&gt;&lt;D xsi:type="xsd:double"&gt;13.5258066461957&lt;/D&gt;&lt;D xsi:type="xsd:double"&gt;12.6762086992742&lt;/D&gt;&lt;D xsi:type="xsd:double"&gt;12.9220025966423&lt;/D&gt;&lt;D xsi:type="xsd:double"&gt;12.8854245421859&lt;/D&gt;&lt;D xsi:type="xsd:double"&gt;12.7546332548895&lt;/D&gt;&lt;D xsi:type="xsd:double"&gt;12.2652654420964&lt;/D&gt;&lt;D xsi:type="xsd:double"&gt;11.292382162182&lt;/D&gt;&lt;D xsi:type="xsd:double"&gt;12.2807994802177&lt;/D&gt;&lt;D xsi:type="xsd:double"&gt;12.5142305246149&lt;/D&gt;&lt;D xsi:type="xsd:double"&gt;12.5324750808285&lt;/D&gt;&lt;D xsi:type="xsd:double"&gt;12.4194655833876&lt;/D&gt;&lt;D xsi:type="xsd:double"&gt;12.8953695169208&lt;/D&gt;&lt;D </t>
        </r>
      </text>
    </comment>
    <comment ref="A22" authorId="0" shapeId="0" xr:uid="{D38B97FC-0D6E-4C3F-A91E-750E16DC555C}">
      <text>
        <r>
          <rPr>
            <b/>
            <sz val="9"/>
            <color indexed="81"/>
            <rFont val="Tahoma"/>
            <charset val="1"/>
          </rPr>
          <t>xsi:type="xsd:double"&gt;13.4269645373073&lt;/D&gt;&lt;D xsi:type="xsd:double"&gt;13.728119882528&lt;/D&gt;&lt;D xsi:type="xsd:double"&gt;14.094257068959&lt;/D&gt;&lt;D xsi:type="xsd:double"&gt;14.3828763489995&lt;/D&gt;&lt;D xsi:type="xsd:double"&gt;13.895854277079&lt;/D&gt;&lt;D xsi:type="xsd:double"&gt;14.2469948172613&lt;/D&gt;&lt;D xsi:type="xsd:double"&gt;14.2331400734094&lt;/D&gt;&lt;D xsi:type="xsd:double"&gt;14.6264871200497&lt;/D&gt;&lt;D xsi:type="xsd:double"&gt;14.5101951340024&lt;/D&gt;&lt;D xsi:type="xsd:double"&gt;14.2830686366711&lt;/D&gt;&lt;D xsi:type="xsd:double"&gt;14.3212356630889&lt;/D&gt;&lt;D xsi:type="xsd:double"&gt;14.4670135453462&lt;/D&gt;&lt;D xsi:type="xsd:double"&gt;14.7480309965459&lt;/D&gt;&lt;D xsi:type="xsd:double"&gt;14.6453591340962&lt;/D&gt;&lt;D xsi:type="xsd:double"&gt;14.5902528590451&lt;/D&gt;&lt;D xsi:type="xsd:double"&gt;14.7516545430664&lt;/D&gt;&lt;D xsi:type="xsd:double"&gt;14.858288878467&lt;/D&gt;&lt;D xsi:type="xsd:double"&gt;14.4221747480271&lt;/D&gt;&lt;D xsi:type="xsd:double"&gt;15.1019352475245&lt;/D&gt;&lt;D xsi:type="xsd:double"&gt;14.0742315816994&lt;/D&gt;&lt;D xsi:type="xsd:double"&gt;14.500114939854&lt;/D&gt;&lt;D xsi:type="xsd:double"&gt;14.4147122101326&lt;/D&gt;&lt;D xsi:type="xsd:double"&gt;14.2816818209931&lt;/D&gt;&lt;D xsi:type="xsd:double"&gt;14.2070991391342&lt;/D&gt;&lt;D xsi:type="xsd:double"&gt;14.0985793765888&lt;/D&gt;&lt;D xsi:type="xsd:double"&gt;13.9320476708704&lt;/D&gt;&lt;D xsi:type="xsd:double"&gt;13.7621237117195&lt;/D&gt;&lt;D xsi:type="xsd:double"&gt;12.7911940996043&lt;/D&gt;&lt;D xsi:type="xsd:double"&gt;12.6136086666548&lt;/D&gt;&lt;D xsi:type="xsd:double"&gt;12.6097438315585&lt;/D&gt;&lt;D xsi:type="xsd:double"&gt;12.9637385311436&lt;/D&gt;&lt;D xsi:type="xsd:double"&gt;13.6755954406759&lt;/D&gt;&lt;D xsi:type="xsd:double"&gt;14.1896596919262&lt;/D&gt;&lt;D xsi:type="xsd:double"&gt;14.4803165338837&lt;/D&gt;&lt;D xsi:type="xsd:double"&gt;14.3185080575007&lt;/D&gt;&lt;D xsi:type="xsd:double"&gt;14.7827544339869&lt;/D&gt;&lt;D xsi:type="xsd:double"&gt;15.0916202505188&lt;/D&gt;&lt;D xsi:type="xsd:double"&gt;14.8796453760213&lt;/D&gt;&lt;D xsi:type="xsd:double"&gt;15.5613235874202&lt;/D&gt;&lt;D xsi:type="xsd:double"&gt;15.9914724282506&lt;/D&gt;&lt;D xsi:type="xsd:double"&gt;16.8669876006789&lt;/D&gt;&lt;D xsi:type="xsd:double"&gt;17.4244753808276&lt;/D&gt;&lt;D xsi:type="xsd:double"&gt;17.6112043038852&lt;/D&gt;&lt;D xsi:type="xsd:double"&gt;17.1548815021592&lt;/D&gt;&lt;D xsi:type="xsd:double"&gt;15.6336308204511&lt;/D&gt;&lt;D xsi:type="xsd:double"&gt;16.3074927523135&lt;/D&gt;&lt;D xsi:type="xsd:double"&gt;16.517714734455&lt;/D&gt;&lt;D xsi:type="xsd:double"&gt;17.0852631303268&lt;/D&gt;&lt;D xsi:type="xsd:double"&gt;17.5779698747613&lt;/D&gt;&lt;D xsi:type="xsd:double"&gt;17.6382264956359&lt;/D&gt;&lt;D xsi:type="xsd:double"&gt;17.3204168187751&lt;/D&gt;&lt;D xsi:type="xsd:double"&gt;17.2160019214537&lt;/D&gt;&lt;D xsi:type="xsd:double"&gt;17.4146337579921&lt;/D&gt;&lt;D xsi:type="xsd:double"&gt;17.7361483000541&lt;/D&gt;&lt;D xsi:type="xsd:double"&gt;19.2926651198161&lt;/D&gt;&lt;D xsi:type="xsd:double"&gt;19.1931702602938&lt;/D&gt;&lt;D xsi:type="xsd:double"&gt;18.4201805700849&lt;/D&gt;&lt;D xsi:type="xsd:double"&gt;18.1118278099904&lt;/D&gt;&lt;D xsi:type="xsd:double"&gt;16.93207493472&lt;/D&gt;&lt;D xsi:type="xsd:double"&gt;16.6895124564701&lt;/D&gt;&lt;D xsi:type="xsd:double"&gt;16.2206290396853&lt;/D&gt;&lt;D xsi:type="xsd:double"&gt;14.7999531322252&lt;/D&gt;&lt;D xsi:type="xsd:double"&gt;14.6372680216528&lt;/D&gt;&lt;D xsi:type="xsd:double"&gt;13.713369859749&lt;/D&gt;&lt;D xsi:type="xsd:double"&gt;13.6160115634413&lt;/D&gt;&lt;D xsi:type="xsd:double"&gt;12.9330279171277&lt;/D&gt;&lt;D xsi:type="xsd:double"&gt;12.9203406904876&lt;/D&gt;&lt;D xsi:type="xsd:double"&gt;12.8077983389018&lt;/D&gt;&lt;D xsi:type="xsd:double"&gt;12.3298131455515&lt;/D&gt;&lt;D xsi:type="xsd:double"&gt;12.1221684755172&lt;/D&gt;&lt;D xsi:type="xsd:double"&gt;11.8910923986519&lt;/D&gt;&lt;D xsi:type="xsd:double"&gt;11.6617323609321&lt;/D&gt;&lt;D xsi:type="xsd:double"&gt;11.0509463174364&lt;/D&gt;&lt;D xsi:type="xsd:double"&gt;11.3814549744257&lt;/D&gt;&lt;D xsi:type="xsd:double"&gt;10.8667804511623&lt;/D&gt;&lt;D xsi:type="xsd:double"&gt;9.95287087491764&lt;/D&gt;&lt;D xsi:type="xsd:double"&gt;10.9044992160363&lt;/D&gt;&lt;D xsi:type="xsd:double"&gt;10.9442820356194&lt;/D&gt;&lt;D xsi:type="xsd:double"&gt;11.5900453140987&lt;/D&gt;&lt;D xsi:type="xsd:double"&gt;12.276135742131&lt;/D&gt;&lt;D xsi:type="xsd:double"&gt;12.6510170487812&lt;/D&gt;&lt;D xsi:type="xsd:double"&gt;13.1140207654658&lt;/D&gt;&lt;D xsi:type="xsd:double"&gt;13.9179264766266&lt;/D&gt;&lt;D xsi:type="xsd:double"&gt;14.8580328093313&lt;/D&gt;&lt;D xsi:type="xsd:double"&gt;15.6464329388002&lt;/D&gt;&lt;D xsi:type="xsd:double"&gt;15.7600702957212&lt;/D&gt;&lt;D xsi:type="xsd:double"&gt;16.3346768109883&lt;/D&gt;&lt;D xsi:type="xsd:double"&gt;16.4712321926532&lt;/D&gt;&lt;D xsi:type="xsd:double"&gt;17.2482601491919&lt;/D&gt;&lt;D xsi:type="xsd:double"&gt;18.3763129881792&lt;/D&gt;&lt;D xsi:type="xsd:double"&gt;18.8547882846319&lt;/D&gt;&lt;D xsi:type="xsd:double"&gt;19.5102031320581&lt;/D&gt;&lt;D xsi:type="xsd:double"&gt;19.8357190210487&lt;/D&gt;&lt;D xsi:type="xsd:double"&gt;19.4251222047094&lt;/D&gt;&lt;D xsi:type="xsd:double"&gt;19.796303016634&lt;/D&gt;&lt;D xsi:type="xsd:double"&gt;19.9648847481633&lt;/D&gt;&lt;D xsi:type="xsd:double"&gt;20.0239770503848&lt;/D&gt;&lt;/FQL&gt;&lt;FQL&gt;&lt;Q&gt;WL-FDS^FG_PRICE_CHANGE(0,-6AM)&lt;/Q&gt;&lt;R&gt;1&lt;/R&gt;&lt;C&gt;1&lt;/C&gt;&lt;D xsi:type="xsd:double"&gt;-18.4448462929476&lt;/D&gt;&lt;/FQL&gt;&lt;FQL&gt;&lt;Q&gt;NI-FDS^FG_PRICE_MAVG(0,,,,30)&lt;/Q&gt;&lt;R&gt;1&lt;/R&gt;&lt;C&gt;1&lt;/C&gt;&lt;D xsi:type="xsd:double"&gt;17030.5&lt;/D&gt;&lt;/FQL&gt;&lt;FQL&gt;&lt;Q&gt;MCHI^FG_PRICE_MAVG(0,,,,200)&lt;/Q&gt;&lt;R&gt;1&lt;/R&gt;&lt;C&gt;1&lt;/C&gt;&lt;D xsi:type="xsd:double"&gt;41.40935&lt;/D&gt;&lt;/FQL&gt;&lt;FQL&gt;&lt;Q&gt;EWY^FG_PRICE_MAVG(0,,,,200)&lt;/Q&gt;&lt;R&gt;1&lt;/R&gt;&lt;C&gt;1&lt;/C&gt;&lt;D xsi:type="xsd:double"&gt;63.2391&lt;/D&gt;&lt;/FQL&gt;&lt;FQL&gt;&lt;Q&gt;UAE^P_PRICE(0)/P_PRICE_LOW_PR(0,,,,,,"PRICE","INTRA","52W")-1&lt;/Q&gt;&lt;R&gt;1&lt;/R&gt;&lt;C&gt;1&lt;/C&gt;&lt;D xsi:type="xsd:double"&gt;0.07738769&lt;/D&gt;&lt;/FQL&gt;&lt;FQL&gt;&lt;Q&gt;SET-BKK^P_PRICE(0)/P_PRICE_HIGH_PR(0,,,,,,"PRICE","INTRA","52W")&lt;/Q&gt;&lt;R&gt;1&lt;/R&gt;&lt;C&gt;1&lt;/C&gt;&lt;D xsi:type="xsd:double"&gt;0.8339338&lt;/D&gt;&lt;/FQL&gt;&lt;FQL&gt;&lt;Q&gt;EPU^P_PRICE(0)/P_PRICE_LOW_PR(0,,,,,,"PRICE","INTRA","52W")-1&lt;/Q&gt;&lt;R&gt;1&lt;/R&gt;&lt;C&gt;1&lt;/C&gt;&lt;D xsi:type="xsd:double"&gt;0.4367776&lt;/D&gt;&lt;/FQL&gt;&lt;FQL&gt;&lt;Q&gt;ECH^FG_TOTAL_RETURNC(0,-6AM)&lt;/Q&gt;&lt;R&gt;1&lt;/R&gt;&lt;C&gt;1&lt;/C&gt;&lt;D xsi:type="xsd:double"&gt;4.9526334&lt;/D&gt;&lt;/FQL&gt;&lt;FQL&gt;&lt;Q&gt;SPY^FG_TOTAL_RETURNC(0,-3AM)&lt;/Q&gt;&lt;R&gt;1&lt;/R&gt;&lt;C&gt;1&lt;/C&gt;&lt;D xsi:type="xsd:double"&gt;11.229408&lt;/D&gt;&lt;/FQL&gt;&lt;FQL&gt;&lt;Q&gt;SPY^PERCENT_CHANGE(FMA_EPS(+1,0,,,,"PORTAGG","MEAN"),FMA_EPS(+1,-1AM,,,,"PORTAGG","MEAN"))&lt;/Q&gt;&lt;R&gt;1&lt;/R&gt;&lt;C&gt;1&lt;/C&gt;&lt;D xsi:type="xsd:double"&gt;-0.754335203117056&lt;/D&gt;&lt;/FQL&gt;&lt;FQL&gt;&lt;Q&gt;UAE^FMA_COS_UP("EPS","1M",+1,NOW,,,"PORTAGG","MEANR")&lt;/Q&gt;&lt;R&gt;1&lt;/R&gt;&lt;C&gt;1&lt;/C&gt;&lt;D xsi:type="xsd:double"&gt;8&lt;/D&gt;&lt;/FQL&gt;&lt;FQL&gt;&lt;Q&gt;EZA^SIZE(FG_CONSTITUENTS)&lt;/Q&gt;&lt;R&gt;1&lt;/R&gt;&lt;C&gt;1&lt;/C&gt;&lt;D xsi:type="xsd:long"&gt;33&lt;/D&gt;&lt;/FQL&gt;&lt;FQL&gt;&lt;Q&gt;USDSAR^STD(FG_PRICE_CHANGE(0,-3AY,M))&lt;/Q&gt;&lt;R&gt;1&lt;/R&gt;&lt;C&gt;1&lt;/C&gt;&lt;D xsi:type="xsd:double"&gt;0.0432627336053464&lt;/D&gt;&lt;/FQL&gt;&lt;FQL&gt;&lt;Q&gt;USDTHB^FG_PRICE_CHANGE(0,-6AM)&lt;/Q&gt;&lt;R&gt;1&lt;/R&gt;&lt;C&gt;1&lt;/C&gt;&lt;D xsi:type="xsd:double"&gt;2.1324515&lt;/D&gt;&lt;/FQL&gt;&lt;FQL&gt;&lt;Q&gt;USDEUR^FG_PRICE_CHANGE(0,-6AM)&lt;/Q&gt;&lt;R&gt;1&lt;/R&gt;&lt;C&gt;1&lt;/C&gt;&lt;D xsi:type="xsd:double"&gt;-0.06428361&lt;/D&gt;&lt;/FQL&gt;&lt;FQL&gt;&lt;Q&gt;USDPEN^FG_PRICE_CHANGE(0,-6AM)&lt;/Q&gt;&lt;R&gt;1&lt;/R&gt;&lt;C&gt;1&lt;/C&gt;&lt;D xsi:type="xsd:double"&gt;0.108373165&lt;/D&gt;&lt;/FQL&gt;&lt;FQL&gt;&lt;Q&gt;USDCLP^STD(FG_PRICE_CHANGE(0,-3AY,M))&lt;/Q&gt;&lt;R&gt;1&lt;/R&gt;&lt;C&gt;1&lt;/C&gt;&lt;D xsi:type="xsd:double"&gt;4.48260961978952&lt;/D&gt;&lt;/FQL&gt;&lt;FQL&gt;&lt;Q&gt;EWW^P_PRICE_RETURNS_PR('52W',2,-10AY,0,AM)&lt;/Q&gt;&lt;R&gt;121&lt;/R&gt;&lt;C&gt;1&lt;/C&gt;&lt;D xsi:type="xsd:double"&gt;7.133734&lt;/D&gt;&lt;D xsi:type="xsd:double"&gt;10.327792&lt;/D&gt;&lt;D xsi:type="xsd:double"&gt;5.605328&lt;/D&gt;&lt;D xsi:type="xsd:double"&gt;1.4640927&lt;/D&gt;&lt;D xsi:type="xsd:double"&gt;2.998829&lt;/D&gt;&lt;D xsi:type="xsd:double"&gt;-9.707522&lt;/D&gt;&lt;D xsi:type="xsd:double"&gt;-10.168666&lt;/D&gt;&lt;D xsi:type="xsd:double"&gt;-3.815186&lt;/D&gt;&lt;D xsi:type="xsd:double"&gt;-2.2693515&lt;/D&gt;&lt;D xsi:type="xsd:double"&gt;-6.966835&lt;/D&gt;&lt;D xsi:type="xsd:double"&gt;-8.870327&lt;/D&gt;&lt;D xsi:type="xsd:double"&gt;-12.485045&lt;/D&gt;&lt;D xsi:type="xsd:double"&gt;-16.235601&lt;/D&gt;&lt;D xsi:type="xsd:double"&gt;-24.156248&lt;/D&gt;&lt;D xsi:type="xsd:double"&gt;-24.180912&lt;/D&gt;&lt;D xsi:type="xsd:double"&gt;-15.008205&lt;/D&gt;&lt;D xsi:type="xsd:double"&gt;-16.023987&lt;/D&gt;&lt;D xsi:type="xsd:double"&gt;-12.511474&lt;/D&gt;&lt;D xsi:type="xsd:double"&gt;-21.077293&lt;/D&gt;&lt;D xsi:type="xsd:double"&gt;-16.814793&lt;/D&gt;&lt;D xsi:type="xsd:double"&gt;-8.641911&lt;/D&gt;&lt;D xsi:type="xsd:double"&gt;-7.674843&lt;/D&gt;&lt;D xsi:type="xsd:double"&gt;-15.714062&lt;/D&gt;&lt;D xsi:type="xsd:double"&gt;-15.370119&lt;/D&gt;&lt;D xsi:type="xsd:double"&gt;-8.832055&lt;/D&gt;&lt;D xsi:type="xsd:double"&gt;2.047491&lt;/D&gt;&lt;D xsi:type="xsd:double"&gt;-9.924995&lt;/D&gt;&lt;D xsi:type="xsd:double"&gt;-2.174294&lt;/D&gt;&lt;D xsi:type="xsd:double"&gt;-18.39621&lt;/D&gt;&lt;D xsi:type="xsd:double"&gt;-11.432838&lt;/D&gt;&lt;D xsi:type="xsd:double"&gt;-5.5644093&lt;/D&gt;&lt;D xsi:type="xsd:double"&gt;-2.7107418&lt;/D&gt;&lt;D xsi:type="xsd:double"&gt;-3.7520945&lt;/D&gt;&lt;D xsi:type="xsd:double"&gt;-3.8627744&lt;/D&gt;&lt;D xsi:type="xsd:double"&gt;6.8051934&lt;/D&gt;&lt;D xsi:type="xsd:double"&gt;13.110352&lt;/D&gt;&lt;D xsi:type="xsd:double"&gt;14.014959&lt;/D&gt;&lt;D xsi:type="xsd:double"&gt;8.248305&lt;/D&gt;&lt;D xsi:type="xsd:double"&gt;20.979273&lt;/D&gt;&lt;D xsi:type="xsd:double"&gt;1.954031&lt;/D&gt;&lt;D xsi:type="xsd:double"&gt;15.465069&lt;/D&gt;&lt;D xsi:type="xsd:double"&gt;14.734912&lt;/D&gt;&lt;D xsi:type="xsd:double"&gt;28.425873&lt;/D&gt;&lt;D xsi:type="xsd:double"&gt;15.764213&lt;/D&gt;&lt;D xsi:type="xsd:double"&gt;1.6335964&lt;/D&gt;&lt;D xsi:type="xsd:double"&gt;5.352521&lt;/D&gt;&lt;D xsi:type="xsd:double"&gt;-8.2862015&lt;/D&gt;&lt;D xsi:type="xsd:double"&gt;-15.22792&lt;/D&gt;&lt;D xsi:type="xsd:double"&gt;-10.290157&lt;/D&gt;&lt;D xsi:type="xsd:double"&gt;-9.334028&lt;/D&gt;&lt;D xsi:type="xsd:double"&gt;-5.6286693&lt;/D&gt;&lt;D xsi:type="xsd:double"&gt;-7.26496&lt;/D&gt;&lt;D xsi:type="xsd:double"&gt;-16.153961&lt;/D&gt;&lt;D xsi:type="xsd:double"&gt;-17.121822&lt;/D&gt;&lt;D xsi:type="xsd:double"&gt;-12.434405&lt;/D&gt;&lt;D xsi:type="xsd:double"&gt;-13.738548&lt;/D&gt;&lt;D xsi:type="xsd:double"&gt;-10.078102&lt;/D&gt;&lt;D xsi:type="xsd:double"&gt;-10.953533&lt;/D&gt;&lt;D xsi:type="xsd:double"&gt;-2.3574948&lt;/D&gt;&lt;D xsi:type="xsd:double"&gt;2.1285772&lt;/D&gt;&lt;D xsi:type="xsd:double"&gt;-12.718164&lt;/D&gt;&lt;D xsi:type="xsd:double"&gt;-19.736034&lt;/D&gt;&lt;D xsi:type="xsd:double"&gt;-13.127446&lt;/D&gt;&lt;D xsi:type="xsd:double"&gt;-3.9266527&lt;/D&gt;&lt;D xsi:type="xsd:double"&gt;10.939657&lt;/D&gt;&lt;D xsi:type="xsd:double"&gt;18.258453&lt;/D&gt;&lt;D xsi:type="xsd:double"&gt;9.678268&lt;/D&gt;&lt;D xsi:type="xsd:double"&gt;11.44315&lt;/D&gt;&lt;D xsi:type="xsd:double"&gt;-32.770042&lt;/D&gt;&lt;D xsi:type="xsd:double"&gt;-38.409424&lt;/D&gt;&lt;D xsi:type="xsd:double"&gt;-31.83288&lt;/D&gt;&lt;D xsi:type="xsd:double"&gt;-23.891264&lt;/D&gt;&lt;D xsi:type="xsd:double"&gt;-26.307858&lt;/D&gt;&lt;D xsi:type="xsd:double"&gt;-10.23115&lt;/D&gt;&lt;D xsi:type="xsd:double"&gt;-22.078842&lt;/D&gt;&lt;D xsi:type="xsd:double"&gt;-20.428926&lt;/D&gt;&lt;D xsi:type="xsd:double"&gt;-6.98238&lt;/D&gt;&lt;D xsi:type="xsd:double"&gt;-6.918401&lt;/D&gt;&lt;D xsi:type="xsd:double"&gt;-6.5970125&lt;/D&gt;&lt;D xsi:type="xsd:double"&gt;-10.944307&lt;/D&gt;&lt;D xsi:type="xsd:double"&gt;55.585693&lt;/D&gt;&lt;D xsi:type="xsd:double"&gt;66.59179&lt;/D&gt;&lt;D xsi:type="xsd:double"&gt;64.270874&lt;/D&gt;&lt;D xsi:type="xsd:double"&gt;48.708904&lt;/D&gt;&lt;D xsi:type="xsd:double"&gt;52.090622&lt;/D&gt;&lt;D xsi:type="xsd:double"&gt;44.735863&lt;/D&gt;&lt;D xsi:type="xsd:double"&gt;49.34238&lt;/D&gt;&lt;D xsi:type="xsd:double"&gt;46.12348&lt;/D&gt;&lt;D xsi:type="xsd:double"&gt;18.355488&lt;/D&gt;&lt;D xsi:type="xsd:double"&gt;15.140462&lt;/D&gt;&lt;D xsi:type="xsd:double"&gt;15.543056&lt;/D&gt;&lt;D xsi:type="xsd:double"&gt;22.453426&lt;/D&gt;&lt;D xsi:type="xsd:double"&gt;21.228813&lt;/D&gt;&lt;D xsi:type="xsd:double"&gt;17.450094&lt;/D&gt;&lt;D xsi:type="xsd:double"&gt;9.550524&lt;/D&gt;&lt;D xsi:type="xsd:double"&gt;-0.18716455&lt;/D&gt;&lt;D xsi:type="xsd:double"&gt;0.1855731&lt;/D&gt;&lt;D xsi:type="xsd:double"&gt;0.18798113&lt;/D&gt;&lt;D xsi:type="xsd:double"&gt;-3.450662&lt;/D&gt;&lt;D xsi:type="xsd:double"&gt;-5.015463&lt;/D&gt;&lt;D xsi:type="xsd:double"&gt;15.556669&lt;/D&gt;&lt;D xsi:type="xsd:double"&gt;6.3294888&lt;/D&gt;&lt;D xsi:type="xsd:double"&gt;16.25378&lt;/D&gt;&lt;D xsi:type="xsd:double"&gt;20.15711&lt;/D&gt;&lt;D xsi:type="xsd:double"&gt;9.915614&lt;/D&gt;&lt;D xsi:type="xsd:double"&gt;16.199802&lt;/D&gt;&lt;D xsi:type="xsd:double"&gt;24.417793&lt;/D&gt;&lt;D xsi:type="xsd:double"&gt;45.56445&lt;/D&gt;&lt;D xsi:type="xsd:double"&gt;44.005905&lt;/D&gt;&lt;D xsi:type="xsd:double"&gt;32.881798&lt;/D&gt;&lt;D xsi:type="xsd:double"&gt;34.173977&lt;/D&gt;&lt;D xsi:type="xsd:double"&gt;20.00439&lt;/D&gt;&lt;D xsi:type="xsd:double"&gt;19.712437&lt;/D&gt;&lt;D xsi:type="xsd:double"&gt;38.35442&lt;/D&gt;&lt;D xsi:type="xsd:double"&gt;18.933212&lt;/D&gt;&lt;D xsi:type="xsd:double"&gt;18.086647&lt;/D&gt;&lt;D xsi:type="xsd:double"&gt;23.788334&lt;/D&gt;&lt;D xsi:type="xsd:double"&gt;11.299812&lt;/D&gt;&lt;D xsi:type="xsd:double"&gt;13.139701&lt;/D&gt;&lt;D xsi:type="xsd:double"&gt;-9.281081&lt;/D&gt;&lt;D xsi:type="xsd:double"&gt;-6.20082&lt;/D&gt;&lt;/FQL&gt;&lt;FQL&gt;&lt;Q&gt;EPOL^FMA_PE(NTMA,-10AY,0,AM,"PORTAGG","MEANR")&lt;/Q&gt;&lt;R&gt;121&lt;/R&gt;&lt;C&gt;1&lt;/C&gt;&lt;D xsi:type="xsd:double"&gt;13.1628708402072&lt;/D&gt;&lt;D xsi:type="xsd:double"&gt;13.4379993564048&lt;/D&gt;&lt;D xsi:type="xsd:double"&gt;13.8102850732441&lt;/D&gt;&lt;D xsi:type="xsd:double"&gt;13.2871463321465&lt;/D&gt;&lt;D xsi:type="xsd:double"&gt;13.3568903449528&lt;/D&gt;&lt;D xsi:type="xsd:double"&gt;13.3593238311699&lt;/D&gt;&lt;D xsi:type="xsd:double"&gt;12.9530128207367&lt;/D&gt;&lt;D xsi:type="xsd:double"&gt;13.4466855737693&lt;/D&gt;&lt;D xsi:type="xsd:double"&gt;13.8448831655517&lt;/D&gt;&lt;D xsi:type="xsd:double"&gt;14.6864361891926&lt;/D&gt;&lt;D xsi:type="xsd:double"&gt;14.6250229667384&lt;/D&gt;&lt;D xsi:type="xsd:double"&gt;13.1761672828887&lt;/D&gt;&lt;D xsi:type="xsd:double"&gt;13.1774719615709&lt;/D&gt;&lt;D xsi:type="xsd:double"&gt;12.7020716460676&lt;/D&gt;&lt;D xsi:type="xsd:double"&gt;12.4376572200725&lt;/D&gt;&lt;D xsi:type="xsd:double"&gt;12.372652387868&lt;/D&gt;&lt;D xsi:type="xsd:double"&gt;11.8508329999796&lt;/D&gt;&lt;D xsi:type="xsd:double"&gt;11.9418634109131&lt;/D&gt;&lt;D xsi:type="xsd:double"&gt;11.7540296012815&lt;/D&gt;&lt;D xsi:type="xsd:double"&gt;13.0659168328538&lt;/D&gt;&lt;D xsi:type="xsd:double"&gt;13.4990758861871&lt;/D&gt;&lt;D xsi:type="xsd:double"&gt;13.2724694362554&lt;/D&gt;&lt;D xsi:type="xsd:double"&gt;11.8198817007541&lt;/D&gt;&lt;D xsi:type="xsd:double"&gt;11.5494351455481&lt;/D&gt;&lt;D xsi:type="xsd:double"&gt;11.6738957797305&lt;/D&gt;&lt;D xsi:type="xsd:double"&gt;12.161489390206&lt;/D&gt;&lt;D xsi:type="xsd:double"&gt;11.6305072615163&lt;/D&gt;&lt;D xsi:type="xsd:double"&gt;11.638322209219&lt;/D&gt;&lt;D xsi:type="xsd:double"&gt;11.217325686978&lt;/D&gt;&lt;D xsi:type="xsd:double"&gt;11.8135799473209&lt;/D&gt;&lt;D xsi:type="xsd:double"&gt;11.8703708099219&lt;/D&gt;&lt;D xsi:type="xsd:double"&gt;12.7806344595362&lt;/D&gt;&lt;D xsi:type="xsd:double"&gt;12.7590001173423&lt;/D&gt;&lt;D xsi:type="xsd:double"&gt;12.5273124848904&lt;/D&gt;&lt;D xsi:type="xsd:double"&gt;12.4111642355761&lt;/D&gt;&lt;D xsi:type="xsd:double"&gt;12.5056673768683&lt;/D&gt;&lt;D xsi:type="xsd:double"&gt;12.7328911002249&lt;/D&gt;&lt;D xsi:type="xsd:double"&gt;12.4707700050334&lt;/D&gt;&lt;D xsi:type="xsd:double"&gt;12.5162982210522&lt;/D&gt;&lt;D xsi:type="xsd:double"&gt;12.0834087142416&lt;/D&gt;&lt;D xsi:type="xsd:double"&gt;11.7850066070095&lt;/D&gt;&lt;D xsi:type="xsd:double"&gt;11.8811647164127&lt;/D&gt;&lt;D xsi:type="xsd:double"&gt;12.8276777910859&lt;/D&gt;&lt;D xsi:type="xsd:double"&gt;11.6770508966233&lt;/D&gt;&lt;D xsi:type="xsd:double"&gt;10.9485055072604&lt;/D&gt;&lt;D xsi:type="xsd:double"&gt;11.5430550391818&lt;/D&gt;&lt;D xsi:type="xsd:double"&gt;11.0864390485645&lt;/D&gt;&lt;D xsi:type="xsd:double"&gt;10.3240689386408&lt;/D&gt;&lt;D xsi:type="xsd:double"&gt;10.4200046739482&lt;/D&gt;&lt;D xsi:type="xsd:double"&gt;10.7323166398942&lt;/D&gt;&lt;D xsi:type="xsd:double"&gt;10.6849025117512&lt;/D&gt;&lt;D xsi:type="xsd:double"&gt;10.4356604641205&lt;/D&gt;&lt;D xsi:type="xsd:double"&gt;10.3556668776091&lt;/D&gt;&lt;D xsi:type="xsd:double"&gt;10.9203059846595&lt;/D&gt;&lt;D xsi:type="xsd:double"&gt;11.0652176341509&lt;/D&gt;&lt;D xsi:type="xsd:double"&gt;10.616558775612&lt;/D&gt;&lt;D xsi:type="xsd:double"&gt;11.2472492250905&lt;/D&gt;&lt;D xsi:type="xsd:double"&gt;11.2715579161568&lt;/D&gt;&lt;D xsi:type="xsd:double"&gt;10.2025090768732&lt;/D&gt;&lt;D xsi:type="xsd:double"&gt;10.7035983086936&lt;/D&gt;&lt;D xsi:type="xsd:double"&gt;10.7993279059935&lt;/D&gt;&lt;D xsi:type="xsd:double"&gt;9.68874012741329&lt;/D&gt;&lt;D xsi:type="xsd:double"&gt;9.98803049355545&lt;/D&gt;&lt;D xsi:type="xsd:double"&gt;9.90112108272874&lt;/D&gt;&lt;D xsi:type="xsd:double"&gt;10.1754703721969&lt;/D&gt;&lt;D xsi:type="xsd:double"&gt;10.1618779193039&lt;/D&gt;&lt;D xsi:type="xsd:double"&gt;10.5717929834379&lt;/D&gt;&lt;D xsi:type="xsd:double"&gt;10.7556911532977&lt;/D&gt;&lt;D xsi:type="xsd:double"&gt;8.08385282832582&lt;/D&gt;&lt;D xsi:type="xsd:double"&gt;10.6565415860334&lt;/D&gt;&lt;D xsi:type="xsd:double"&gt;11.9441776515523&lt;/D&gt;&lt;D xsi:type="xsd:double"&gt;13.0687697554352&lt;/D&gt;&lt;D xsi:type="xsd:double"&gt;12.4628728812645&lt;/D&gt;&lt;D xsi:type="xsd:double"&gt;12.8076145895403&lt;/D&gt;&lt;D xsi:type="xsd:double"&gt;11.6640740578863&lt;/D&gt;&lt;D xsi:type="xsd:double"&gt;11.2651057566689&lt;/D&gt;&lt;D xsi:type="xsd:double"&gt;13.4656104825479&lt;/D&gt;&lt;D xsi:type="xsd:double"&gt;13.4457447505586&lt;/D&gt;&lt;D xsi:type="xsd:double"&gt;13.7484749076467&lt;/D&gt;&lt;D xsi:type="xsd:double"&gt;11.12666615912&lt;/D&gt;&lt;D xsi:type="xsd:double"&gt;11.4188857470676&lt;/D&gt;&lt;D xsi:type="xsd:double"&gt;11.8603949457745&lt;/D&gt;&lt;D xsi:type="xsd:double"&gt;12.7070154141778&lt;/D&gt;&lt;D xsi:type="xsd:double"&gt;12.4912749891195&lt;/D&gt;&lt;D xsi:type="xsd:double"&gt;11.6495219981845&lt;/D&gt;&lt;D xsi:type="xsd:double"&gt;11.8174704867675&lt;/D&gt;&lt;D xsi:type="xsd:double"&gt;11.4559438611636&lt;/D&gt;&lt;D xsi:type="xsd:double"&gt;12.1284281618037&lt;/D&gt;&lt;D xsi:type="xsd:double"&gt;11.2373933349401&lt;/D&gt;&lt;D xsi:type="xsd:double"&gt;10.1231538951755&lt;/D&gt;&lt;D xsi:type="xsd:double"&gt;10.7452711484294&lt;/D&gt;&lt;D xsi:type="xsd:double"&gt;9.81999724489326&lt;/D&gt;&lt;D xsi:type="xsd:double"&gt;9.3489995979186&lt;/D&gt;&lt;D xsi:type="xsd:double"&gt;8.6245635174765&lt;/D&gt;&lt;D xsi:type="xsd:double"&gt;6.84494491665763&lt;/D&gt;&lt;D xsi:type="xsd:double"&gt;6.50397687624773&lt;/D&gt;&lt;D xsi:type="xsd:double"&gt;5.98711639841464&lt;/D&gt;&lt;D xsi:type="xsd:double"&gt;6.26621997040106&lt;/D&gt;&lt;D xsi:type="xsd:double"&gt;5.89507474112072&lt;/D&gt;&lt;D xsi:type="xsd:double"&gt;6.42083123890448&lt;/D&gt;&lt;D xsi:type="xsd:double"&gt;7.23371545070555&lt;/D&gt;&lt;D xsi:type="xsd:double"&gt;7.26750927610859&lt;/D&gt;&lt;D xsi:type="xsd:double"&gt;7.90541501928103&lt;/D&gt;&lt;D xsi:type="xsd:double"&gt;7.70793402209968&lt;/D&gt;&lt;D xsi:type="xsd:double"&gt;6.82326433965796&lt;/D&gt;&lt;D xsi:type="xsd:double"&gt;7.2464720115645&lt;/D&gt;&lt;D xsi:type="xsd:double"&gt;7.40222348479038&lt;/D&gt;&lt;D xsi:type="xsd:double"&gt;8.141149513748&lt;/D&gt;&lt;D xsi:type="xsd:double"&gt;8.75341712315869&lt;/D&gt;&lt;D xsi:type="xsd:double"&gt;8.06459844020556&lt;/D&gt;&lt;D xsi:type="xsd:double"&gt;7.97430676348809&lt;/D&gt;&lt;D xsi:type="xsd:double"&gt;8.3209334303202&lt;/D&gt;&lt;D xsi:type="xsd:double"&gt;8.33146963942178&lt;/D&gt;&lt;D xsi:type="xsd:double"&gt;8.56737180484189&lt;/D&gt;&lt;D xsi:type="xsd:double"&gt;8.04655201242696&lt;/D&gt;&lt;D xsi:type="xsd:double"&gt;9.07444088429165&lt;/D&gt;&lt;D xsi:type="xsd:double"&gt;9.13445568009213&lt;/D&gt;&lt;D xsi:type="xsd:double"&gt;8.69594615552052&lt;/D&gt;&lt;D xsi:type="xsd:double"&gt;9.05316999423842&lt;/D&gt;&lt;D xsi:type="xsd:double"&gt;8.87295621399466&lt;/D&gt;&lt;D xsi:type="xsd:double"&gt;8.69907980138946&lt;/D&gt;&lt;/FQL&gt;&lt;FQL&gt;&lt;Q&gt;NI-FDS^FG_PRICE(0)&lt;/Q&gt;&lt;R&gt;1&lt;/R&gt;&lt;C&gt;1&lt;/C&gt;&lt;D xsi:type="xsd:double"&gt;16105&lt;/D&gt;&lt;/FQL&gt;&lt;FQL&gt;&lt;Q&gt;W-FDS^FG_PRICE_CHANGE(0,-3AM)&lt;/Q&gt;&lt;R&gt;1&lt;/R&gt;&lt;C&gt;1&lt;/C&gt;&lt;D xsi:type="xsd:double"&gt;-1.36301681054066&lt;/D&gt;&lt;/FQL&gt;&lt;FQL&gt;&lt;Q&gt;COPP-FDS^FG_PRICE(0)&lt;/Q&gt;&lt;R&gt;1&lt;/R&gt;&lt;C&gt;1&lt;/C&gt;&lt;D xsi:type="xsd:double"&gt;4.219&lt;/D&gt;&lt;/FQL&gt;&lt;FQL&gt;&lt;Q&gt;VNM^FG_PRICE_MAVG(0,,,,60)&lt;/Q&gt;&lt;R&gt;1&lt;/R&gt;&lt;C&gt;1&lt;/C&gt;&lt;D xsi:type="xsd:double"&gt;12.541&lt;/D&gt;&lt;/FQL&gt;&lt;FQL&gt;&lt;Q&gt;EWY^FG_PRICE_MAVG(0,,,,30)&lt;/Q&gt;&lt;R&gt;1&lt;/R&gt;&lt;C&gt;1&lt;/C&gt;&lt;D xsi:type="xsd:double"&gt;66.139&lt;/D&gt;&lt;/FQL&gt;&lt;FQL&gt;&lt;Q&gt;EPOL^FG_PRICE_MAVG(0,,,,60)&lt;/Q&gt;&lt;R&gt;1&lt;/R&gt;&lt;C&gt;1&lt;/C&gt;&lt;D xsi:type="xsd:double"&gt;24.568666&lt;/D&gt;&lt;/FQL&gt;&lt;FQL&gt;&lt;Q&gt;KSA^FG_TOTAL_RETURNC(0,-12AM)&lt;/Q&gt;&lt;R&gt;1&lt;/R&gt;&lt;C&gt;1&lt;/C&gt;&lt;D xsi:type="xsd:double"&gt;2.3836136&lt;/D&gt;&lt;/FQL&gt;&lt;FQL&gt;&lt;Q&gt;SET-BKK^FG_TOTAL_RETURNC(0,-6AM)&lt;/Q&gt;&lt;R&gt;1&lt;/R&gt;&lt;C&gt;1&lt;/C&gt;&lt;D xsi:type="xsd:double"&gt;-4.728359&lt;/D&gt;&lt;/FQL&gt;&lt;FQL&gt;&lt;Q&gt;MCHI^PERCENT_CHANGE(FMA_EPS(+1,0,,,,"PORTAGG","MEAN"),FMA_EPS(+1,-3AM,,,,"PORTAGG","MEAN"))&lt;/Q&gt;&lt;R&gt;1&lt;/R&gt;&lt;C&gt;1&lt;/C&gt;&lt;D xsi:type="xsd:double"&gt;0.450964201707759&lt;/D&gt;&lt;/FQL&gt;&lt;FQL&gt;&lt;Q&gt;GREK^PERCENT_CHANGE(FMA_EPS(+1,0,,,,"PORTAGG","MEAN"),FMA_EPS(+1,-1AM,,,,"PORTAGG","MEAN"))&lt;/Q&gt;&lt;R&gt;1&lt;/R&gt;&lt;C&gt;1&lt;/C&gt;&lt;D xsi:type="xsd:double"&gt;5.06110003806115&lt;/D&gt;&lt;/FQL&gt;&lt;FQL&gt;&lt;Q&gt;EWZ^FMA_PCT_ABOVE_MAVG(200,0,,,,"PORTAGG")&lt;/Q&gt;&lt;R&gt;1&lt;/R&gt;&lt;C&gt;1&lt;/C&gt;&lt;D xsi:type="xsd:double"&gt;48.9795918367347&lt;/D&gt;&lt;/FQL&gt;&lt;FQL&gt;&lt;Q&gt;EWT^FG_TOTAL_RETURNC(0,-12AM)&lt;/Q&gt;&lt;R&gt;1&lt;/R&gt;&lt;C&gt;1&lt;/C&gt;&lt;D xsi:type="xsd:double"&gt;24.253643&lt;/D&gt;&lt;/FQL&gt;&lt;FQL&gt;&lt;Q&gt;EPHE^FG_TOTAL_RETURNC(0,-6AM)&lt;/Q&gt;&lt;R&gt;1&lt;/R&gt;&lt;C&gt;1&lt;/C&gt;&lt;D xsi:type="xsd:double"&gt;-1.254034&lt;/D&gt;&lt;/FQL&gt;&lt;FQL&gt;&lt;Q&gt;SPY^FMA_PCT_ABOVE_MAVG(200,0,,,,"PORTAGG")&lt;/Q&gt;&lt;R&gt;1&lt;/R&gt;&lt;C&gt;1&lt;/C&gt;&lt;D xsi:type="xsd:double"&gt;74.251497005988&lt;/D&gt;&lt;/FQL&gt;&lt;FQL&gt;&lt;Q&gt;EWJ^FMA_COS_UP("EPS","1M",+1,NOW,,,"PORTAGG","MEANR")&lt;/Q&gt;&lt;R&gt;1&lt;/R&gt;&lt;C&gt;1&lt;/C&gt;&lt;D xsi:type="xsd:double"&gt;108&lt;/D&gt;&lt;/FQL&gt;&lt;FQL&gt;&lt;Q&gt;TUR^SIZE(FG_CONSTITUENTS)&lt;/Q&gt;&lt;R&gt;1&lt;/R&gt;&lt;C&gt;1&lt;/C&gt;&lt;D xsi:type="xsd:long"&gt;97&lt;/D&gt;&lt;/FQL&gt;&lt;FQL&gt;&lt;Q&gt;TRYMY10Y-FDS^PCTCHG(FG_YIELD(0,,,,"YTM"),FG_YIELD(-1AM,,,,"YTM"))&lt;/Q&gt;&lt;R&gt;1&lt;/R&gt;&lt;C&gt;1&lt;/C&gt;&lt;D xsi:type="xsd:double"&gt;-1.5650017&lt;/D&gt;&lt;/FQL&gt;&lt;FQL&gt;&lt;Q&gt;CNYA^JULIAN(FMA_DIV_YLD(NTMA,NOW,NOW,M,"PORTAGG","MEANR").DATES)&lt;/Q&gt;&lt;R&gt;1&lt;/R&gt;&lt;C&gt;1&lt;/C&gt;&lt;D xsi:type="xsd:long"&gt;45471&lt;/D&gt;&lt;/FQL&gt;&lt;FQL&gt;&lt;Q&gt;EWT^FMA_PE(LTM,0,,,"PORTAGG","MEANR")&lt;/Q&gt;&lt;R&gt;1&lt;/R&gt;&lt;C&gt;1&lt;/C&gt;&lt;D xsi:type="xsd:double"&gt;23.2186887200912&lt;/D&gt;&lt;/FQL&gt;&lt;FQL&gt;&lt;Q&gt;EIDO^FMA_PE(LTM,0,,,"PORTAGG","MEANR")&lt;/Q&gt;&lt;R&gt;1&lt;/R&gt;&lt;C&gt;1&lt;/C&gt;&lt;D xsi:type="xsd:double"&gt;15.87200654102&lt;/D&gt;&lt;/FQL&gt;&lt;FQL&gt;&lt;Q&gt;USDMXN^STD(FG_PRICE_CHANGE(0,-1AY,AM))&lt;/Q&gt;&lt;R&gt;1&lt;/R&gt;&lt;C&gt;1&lt;/C&gt;&lt;D xsi:type="xsd:double"&gt;4.51610061550659&lt;/D&gt;&lt;/FQL&gt;&lt;FQL&gt;&lt;Q&gt;FC0000KR^FMA_EPS(NTMA,-20AY,0,CY,,"PORTAGG","MEANR")&lt;/Q&gt;&lt;R&gt;20&lt;/R&gt;&lt;C&gt;1&lt;/C&gt;&lt;D xsi:type="xsd:double"&gt;25.662347195809&lt;/D&gt;&lt;D xsi:type="xsd:double"&gt;29.7949627913341&lt;/D&gt;&lt;D xsi:type="xsd:double"&gt;31.2503748053754&lt;/D&gt;&lt;D xsi:type="xsd:double"&gt;35.671095666108&lt;/D&gt;&lt;D xsi:type="xsd:double"&gt;19.0450116297318&lt;/D&gt;&lt;D xsi:type="xsd:double"&gt;29.9539754539252&lt;/D&gt;&lt;D xsi:type="xsd:double"&gt;37.906953014038&lt;/D&gt;&lt;D xsi:type="xsd:double"&gt;39.1650245409456&lt;/D&gt;&lt;D xsi:type="xsd:double"&gt;44.428480693782&lt;/D&gt;&lt;D xsi:type="xsd:double"&gt;44.151808890174&lt;/D&gt;&lt;D xsi:type="xsd:double"&gt;37.5299107205561&lt;/D&gt;&lt;D xsi:type="xsd:double"&gt;33.45961264389&lt;/D&gt;&lt;D xsi:type="xsd:double"&gt;36.5379279291672&lt;/D&gt;&lt;D xsi:type="xsd:double"&gt;53.6332908559232&lt;/D&gt;&lt;D xsi:type="xsd:double"&gt;45.9241136881632&lt;/D&gt;&lt;D xsi:type="xsd:double"&gt;35.8902111252676&lt;/D&gt;&lt;D xsi:type="xsd:double"&gt;42.7006678211396&lt;/D&gt;&lt;D xsi:type="xsd:double"&gt;51.191917667837&lt;/D&gt;&lt;D xsi:type="xsd:double"&gt;35.2540555702774&lt;/D&gt;&lt;D xsi:type="xsd:double"&gt;41.551626905258&lt;/D&gt;&lt;/FQL&gt;&lt;FQL&gt;&lt;Q&gt;EPOL^P_PRICE_RETURNS_PR('52W',2,-10AY,0,AM)&lt;/Q&gt;&lt;R&gt;121&lt;/R&gt;&lt;C&gt;1&lt;/C&gt;&lt;D xsi:type="xsd:double"&gt;16.050863&lt;/D&gt;&lt;D xsi:type="xsd:double"&gt;8.006668&lt;/D&gt;&lt;D xsi:type="xsd:double"&gt;4.1806936&lt;/D&gt;&lt;D xsi:type="xsd:double"&gt;-9.925175&lt;/D&gt;&lt;D xsi:type="xsd:double"&gt;-11.191999&lt;/D&gt;&lt;D xsi:type="xsd:double"&gt;-12.511433&lt;/D&gt;&lt;D xsi:type="xsd:double"&gt;-20.318491&lt;/D&gt;&lt;D xsi:type="xsd:double"&gt;-18.794436&lt;/D&gt;&lt;D xsi:type="xsd:double"&gt;-17.236006&lt;/D&gt;&lt;D xsi:type="xsd:double"&gt;-14.472026&lt;/D&gt;&lt;D xsi:type="xsd:double"&gt;-9.282231&lt;/D&gt;&lt;D xsi:type="xsd:double"&gt;-21.567642&lt;/D&gt;&lt;D xsi:type="xsd:double"&gt;-18.68239&lt;/D&gt;&lt;D xsi:type="xsd:double"&gt;-21.59497&lt;/D&gt;&lt;D xsi:type="xsd:double"&gt;-22.472841&lt;/D&gt;&lt;D xsi:type="xsd:double"&gt;-17.405254&lt;/D&gt;&lt;D xsi:type="xsd:double"&gt;-25.582588&lt;/D&gt;&lt;D xsi:type="xsd:double"&gt;-26.448286&lt;/D&gt;&lt;D xsi:type="xsd:double"&gt;-27.427315&lt;/D&gt;&lt;D xsi:type="xsd:double"&gt;-22.410572&lt;/D&gt;&lt;D xsi:type="xsd:double"&gt;-13.927078&lt;/D&gt;&lt;D xsi:type="xsd:double"&gt;-18.583637&lt;/D&gt;&lt;D xsi:type="xsd:double"&gt;-31.354177&lt;/D&gt;&lt;D xsi:type="xsd:double"&gt;-26.886797&lt;/D&gt;&lt;D xsi:type="xsd:double"&gt;-22.446358&lt;/D&gt;&lt;D xsi:type="xsd:double"&gt;-14.728707&lt;/D&gt;&lt;D xsi:type="xsd:double"&gt;-15.279734&lt;/D&gt;&lt;D xsi:type="xsd:double"&gt;-16.105043&lt;/D&gt;&lt;D xsi:type="xsd:double"&gt;-14.254928&lt;/D&gt;&lt;D xsi:type="xsd:double"&gt;0.7051945&lt;/D&gt;&lt;D xsi:type="xsd:double"&gt;22.32349&lt;/D&gt;&lt;D xsi:type="xsd:double"&gt;19.470156&lt;/D&gt;&lt;D xsi:type="xsd:double"&gt;16.894627&lt;/D&gt;&lt;D xsi:type="xsd:double"&gt;14.82991&lt;/D&gt;&lt;D xsi:type="xsd:double"&gt;42.608418&lt;/D&gt;&lt;D xsi:type="xsd:double"&gt;44.06593&lt;/D&gt;&lt;D xsi:type="xsd:double"&gt;50.488724&lt;/D&gt;&lt;D xsi:type="xsd:double"&gt;38.021614&lt;/D&gt;&lt;D xsi:type="xsd:double"&gt;54.401527&lt;/D&gt;&lt;D xsi:type="xsd:double"&gt;53.7266&lt;/D&gt;&lt;D xsi:type="xsd:double"&gt;63.095116&lt;/D&gt;&lt;D xsi:type="xsd:double"&gt;53.46613&lt;/D&gt;&lt;D xsi:type="xsd:double"&gt;56.55789&lt;/D&gt;&lt;D xsi:type="xsd:double"&gt;31.762087&lt;/D&gt;&lt;D xsi:type="xsd:double"&gt;14.871634&lt;/D&gt;&lt;D xsi:type="xsd:double"&gt;21.41031&lt;/D&gt;&lt;D xsi:type="xsd:double"&gt;1.9570708&lt;/D&gt;&lt;D xsi:type="xsd:double"&gt;-7.023418&lt;/D&gt;&lt;D xsi:type="xsd:double"&gt;-10.876751&lt;/D&gt;&lt;D xsi:type="xsd:double"&gt;-7.015461&lt;/D&gt;&lt;D xsi:type="xsd:double"&gt;-11.987841&lt;/D&gt;&lt;D xsi:type="xsd:double"&gt;-15.109319&lt;/D&gt;&lt;D xsi:type="xsd:double"&gt;-15.12&lt;/D&gt;&lt;D xsi:type="xsd:double"&gt;-11.420888&lt;/D&gt;&lt;D xsi:type="xsd:double"&gt;-16.983635&lt;/D&gt;&lt;D xsi:type="xsd:double"&gt;-14.73226&lt;/D&gt;&lt;D xsi:type="xsd:double"&gt;-4.942828&lt;/D&gt;&lt;D xsi:type="xsd:double"&gt;-9.599155&lt;/D&gt;&lt;D xsi:type="xsd:double"&gt;-8.838898&lt;/D&gt;&lt;D xsi:type="xsd:double"&gt;8.111811&lt;/D&gt;&lt;D xsi:type="xsd:double"&gt;7.0153356&lt;/D&gt;&lt;D xsi:type="xsd:double"&gt;-9.101373&lt;/D&gt;&lt;D xsi:type="xsd:double"&gt;-8.64979&lt;/D&gt;&lt;D xsi:type="xsd:double"&gt;-1.8586457&lt;/D&gt;&lt;D xsi:type="xsd:double"&gt;-0.7708013&lt;/D&gt;&lt;D xsi:type="xsd:double"&gt;-8.043581&lt;/D&gt;&lt;D xsi:type="xsd:double"&gt;-7.8453064&lt;/D&gt;&lt;D xsi:type="xsd:double"&gt;-11.78267&lt;/D&gt;&lt;D xsi:type="xsd:double"&gt;-43.9389&lt;/D&gt;&lt;D xsi:type="xsd:double"&gt;-35.62659&lt;/D&gt;&lt;D xsi:type="xsd:double"&gt;-28.610468&lt;/D&gt;&lt;D xsi:type="xsd:double"&gt;-24.760973&lt;/D&gt;&lt;D xsi:type="xsd:double"&gt;-23.153358&lt;/D&gt;&lt;D xsi:type="xsd:double"&gt;-8.209955&lt;/D&gt;&lt;D xsi:type="xsd:double"&gt;-17.36483&lt;/D&gt;&lt;D xsi:type="xsd:double"&gt;-25.452984&lt;/D&gt;&lt;D xsi:type="xsd:double"&gt;-17.734993&lt;/D&gt;&lt;D xsi:type="xsd:double"&gt;-6.3808737&lt;/D&gt;&lt;D xsi:type="xsd:double"&gt;-9.278387&lt;/D&gt;&lt;D xsi:type="xsd:double"&gt;0.2596259&lt;/D&gt;&lt;D xsi:type="xsd:double"&gt;43.694294&lt;/D&gt;&lt;D xsi:type="xsd:double"&gt;32.37506&lt;/D&gt;&lt;D xsi:type="xsd:double"&gt;44.366013&lt;/D&gt;&lt;D xsi:type="xsd:double"&gt;26.71684&lt;/D&gt;&lt;D xsi:type="xsd:double"&gt;22.461521&lt;/D&gt;&lt;D xsi:type="xsd:double"&gt;18.751204&lt;/D&gt;&lt;D xsi:type="xsd:double"&gt;31.43637&lt;/D&gt;&lt;D xsi:type="xsd:double"&gt;54.565193&lt;/D&gt;&lt;D xsi:type="xsd:double"&gt;21.102238&lt;/D&gt;&lt;D xsi:type="xsd:double"&gt;3.9955497&lt;/D&gt;&lt;D xsi:type="xsd:double"&gt;15.502632&lt;/D&gt;&lt;D xsi:type="xsd:double"&gt;4.3375373&lt;/D&gt;&lt;D xsi:type="xsd:double"&gt;2.894926&lt;/D&gt;&lt;D xsi:type="xsd:double"&gt;-5.0970373&lt;/D&gt;&lt;D xsi:type="xsd:double"&gt;-25.201511&lt;/D&gt;&lt;D xsi:type="xsd:double"&gt;-30.69936&lt;/D&gt;&lt;D xsi:type="xsd:double"&gt;-32.05269&lt;/D&gt;&lt;D xsi:type="xsd:double"&gt;-35.025616&lt;/D&gt;&lt;D xsi:type="xsd:double"&gt;-43.198853&lt;/D&gt;&lt;D xsi:type="xsd:double"&gt;-52.688442&lt;/D&gt;&lt;D xsi:type="xsd:double"&gt;-30.399483&lt;/D&gt;&lt;D xsi:type="xsd:double"&gt;-24.130308&lt;/D&gt;&lt;D xsi:type="xsd:double"&gt;-22.907835&lt;/D&gt;&lt;D xsi:type="xsd:double"&gt;-20.569874&lt;/D&gt;&lt;D xsi:type="xsd:double"&gt;-21.893597&lt;/D&gt;&lt;D xsi:type="xsd:double"&gt;-4.0112495&lt;/D&gt;&lt;D xsi:type="xsd:double"&gt;18.16814&lt;/D&gt;&lt;D xsi:type="xsd:double"&gt;39.695526&lt;/D&gt;&lt;D xsi:type="xsd:double"&gt;53.179478&lt;/D&gt;&lt;D xsi:type="xsd:double"&gt;39.957737&lt;/D&gt;&lt;D xsi:type="xsd:double"&gt;40.760292&lt;/D&gt;&lt;D xsi:type="xsd:double"&gt;74.56783&lt;/D&gt;&lt;D xsi:type="xsd:double"&gt;51.02204&lt;/D&gt;&lt;D xsi:type="xsd:double"&gt;57.97297&lt;/D&gt;&lt;D xsi:type="xsd:double"&gt;32.27627&lt;/D&gt;&lt;D xsi:type="xsd:double"&gt;47.042393&lt;/D&gt;&lt;D xsi:type="xsd:double"&gt;62.97953&lt;/D&gt;&lt;D xsi:type="xsd:double"&gt;40.54712&lt;/D&gt;&lt;D xsi:type="xsd:double"&gt;50.26088&lt;/D&gt;&lt;D xsi:type="xsd:double"&gt;27.583838&lt;/D&gt;&lt;D xsi:type="xsd:double"&gt;21.956121&lt;/D&gt;&lt;/FQL&gt;&lt;FQL&gt;&lt;Q&gt;EPU^FG_TOTAL_RETURNC(-10AY,0,AM)&lt;/Q&gt;&lt;R&gt;121&lt;/R&gt;&lt;C&gt;1&lt;/C&gt;&lt;D xsi:type="xsd:double"&gt;2.3492813&lt;/D&gt;&lt;D xsi:type="xsd:double"&gt;1.1064887&lt;/D&gt;&lt;D xsi:type="xsd:double"&gt;-1.4837325&lt;/D&gt;&lt;D xsi:type="xsd:double"&gt;-7.0594788&lt;/D&gt;&lt;D xsi:type="xsd:double"&gt;-1.7045438&lt;/D&gt;&lt;D xsi:type="xsd:double"&gt;-3.0344486&lt;/D&gt;&lt;D xsi:type="xsd:double"&gt;-4.555684&lt;/D&gt;&lt;D xsi:type="xsd:double"&gt;0.6935239&lt;/D&gt;&lt;D xsi:type="xsd:double"&gt;-6.5267267&lt;/D&gt;&lt;D xsi:type="xsd:double"&gt;3.6491275&lt;/D&gt;&lt;D xsi:type="xsd:double"&gt;3.7914634&lt;/D&gt;&lt;D xsi:type="xsd:double"&gt;-2.801931&lt;/D&gt;&lt;D xsi:type="xsd:double"&gt;-4.832715&lt;/D&gt;&lt;D xsi:type="xsd:double"&gt;-17.471594&lt;/D&gt;&lt;D xsi:type="xsd:double"&gt;-1.3769329&lt;/D&gt;&lt;D xsi:type="xsd:double"&gt;2.1378756&lt;/D&gt;&lt;D xsi:type="xsd:double"&gt;-5.52299&lt;/D&gt;&lt;D xsi:type="xsd:double"&gt;-8.587927&lt;/D&gt;&lt;D xsi:type="xsd:double"&gt;-10.185253&lt;/D&gt;&lt;D xsi:type="xsd:double"&gt;18.323147&lt;/D&gt;&lt;D xsi:type="xsd:double"&gt;22.618484&lt;/D&gt;&lt;D xsi:type="xsd:double"&gt;16.035212&lt;/D&gt;&lt;D xsi:type="xsd:double"&gt;-2.3087025&lt;/D&gt;&lt;D xsi:type="xsd:double"&gt;1.1141062&lt;/D&gt;&lt;D xsi:type="xsd:double"&gt;10.804951&lt;/D&gt;&lt;D xsi:type="xsd:double"&gt;7.792604&lt;/D&gt;&lt;D xsi:type="xsd:double"&gt;-7.707447&lt;/D&gt;&lt;D xsi:type="xsd:double"&gt;0.944829&lt;/D&gt;&lt;D xsi:type="xsd:double"&gt;-2.8381586&lt;/D&gt;&lt;D xsi:type="xsd:double"&gt;-0.65258145&lt;/D&gt;&lt;D xsi:type="xsd:double"&gt;6.2716126&lt;/D&gt;&lt;D xsi:type="xsd:double"&gt;5.2243233&lt;/D&gt;&lt;D xsi:type="xsd:double"&gt;-5.6662025&lt;/D&gt;&lt;D xsi:type="xsd:double"&gt;0.20815134&lt;/D&gt;&lt;D xsi:type="xsd:double"&gt;3.6498547&lt;/D&gt;&lt;D xsi:type="xsd:double"&gt;-2.9773831&lt;/D&gt;&lt;D xsi:type="xsd:double"&gt;5.4633737&lt;/D&gt;&lt;D xsi:type="xsd:double"&gt;3.5897493&lt;/D&gt;&lt;D xsi:type="xsd:double"&gt;5.500555&lt;/D&gt;&lt;D xsi:type="xsd:double"&gt;7.794571&lt;/D&gt;&lt;D xsi:type="xsd:double"&gt;-1.3059199&lt;/D&gt;&lt;D xsi:type="xsd:double"&gt;-3.8068116&lt;/D&gt;&lt;D xsi:type="xsd:double"&gt;12.931717&lt;/D&gt;&lt;D xsi:type="xsd:double"&gt;-3.4950554&lt;/D&gt;&lt;D xsi:type="xsd:double"&gt;-1.7155111&lt;/D&gt;&lt;D xsi:type="xsd:double"&gt;8.9697&lt;/D&gt;&lt;D xsi:type="xsd:double"&gt;-5.40601&lt;/D&gt;&lt;D xsi:type="xsd:double"&gt;-4.034543&lt;/D&gt;&lt;D xsi:type="xsd:double"&gt;-3.216225&lt;/D&gt;&lt;D xsi:type="xsd:double"&gt;-4.984665&lt;/D&gt;&lt;D xsi:type="xsd:double"&gt;-2.2598743&lt;/D&gt;&lt;D xsi:type="xsd:double"&gt;-1.4863789&lt;/D&gt;&lt;D xsi:type="xsd:double"&gt;0.44704676&lt;/D&gt;&lt;D xsi:type="xsd:double"&gt;-2.5705159&lt;/D&gt;&lt;D xsi:type="xsd:double"&gt;4.961288&lt;/D&gt;&lt;D xsi:type="xsd:double"&gt;5.273223&lt;/D&gt;&lt;D xsi:type="xsd:double"&gt;2.6472926&lt;/D&gt;&lt;D xsi:type="xsd:double"&gt;-2.5537252&lt;/D&gt;&lt;D xsi:type="xsd:double"&gt;-7.4727592&lt;/D&gt;&lt;D xsi:type="xsd:double"&gt;2.4702668&lt;/D&gt;&lt;D xsi:type="xsd:double"&gt;5.380547&lt;/D&gt;&lt;D xsi:type="xsd:double"&gt;-11.8783&lt;/D&gt;&lt;D xsi:type="xsd:double"&gt;3.782642&lt;/D&gt;&lt;D xsi:type="xsd:double"&gt;0&lt;/D&gt;&lt;D xsi:type="xsd:double"&gt;0.4339099&lt;/D&gt;&lt;D xsi:type="xsd:double"&gt;3.346026&lt;/D&gt;&lt;D xsi:type="xsd:double"&gt;3.825605&lt;/D&gt;&lt;D xsi:type="xsd:double"&gt;-6.231374&lt;/D&gt;&lt;D xsi:type="xsd:double"&gt;-35.885586&lt;/D&gt;&lt;D xsi:type="xsd:double"&gt;11.987376&lt;/D&gt;&lt;D xsi:type="xsd:double"&gt;7.042253&lt;/D&gt;&lt;D xsi:type="xsd:double"&gt;8.860326&lt;/D&gt;&lt;D xsi:type="xsd:double"&gt;1.6046405&lt;/D&gt;&lt;D xsi:type="xsd:double"&gt;7.2322607&lt;/D&gt;&lt;D xsi:type="xsd:double"&gt;-2.637142&lt;/D&gt;&lt;D xsi:type="xsd:double"&gt;-2.0902634&lt;/D&gt;&lt;D xsi:type="xsd:double"&gt;6.423259&lt;/D&gt;&lt;D xsi:type="xsd:double"&gt;11.2157345&lt;/D&gt;&lt;D xsi:type="xsd:double"&gt;1.2636423&lt;/D&gt;&lt;D xsi:type="xsd:double"&gt;8.28135&lt;/D&gt;&lt;D xsi:type="xsd:double"&gt;-6.4169765&lt;/D&gt;&lt;D xsi:type="xsd:double"&gt;-3.7223577&lt;/D&gt;&lt;D xsi:type="xsd:double"&gt;-2.587217&lt;/D&gt;&lt;D xsi:type="xsd:double"&gt;-14.533859&lt;/D&gt;&lt;D xsi:type="xsd:double"&gt;-1.9718289&lt;/D&gt;&lt;D xsi:type="xsd:double"&gt;-14.044541&lt;/D&gt;&lt;D xsi:type="xsd:double"&gt;11.993313&lt;/D&gt;&lt;D xsi:type="xsd:double"&gt;13.3582115&lt;/D&gt;&lt;D xsi:type="xsd:double"&gt;-3.1682014&lt;/D&gt;&lt;D xsi:type="xsd:double"&gt;-2.1065712&lt;/D&gt;&lt;D xsi:type="xsd:double"&gt;21.222889&lt;/D&gt;&lt;D xsi:type="xsd:double"&gt;1.2316823&lt;/D&gt;&lt;D xsi:type="xsd:double"&gt;6.5179586&lt;/D&gt;&lt;D xsi:type="xsd:double"&gt;-5.384821&lt;/D&gt;&lt;D xsi:type="xsd:double"&gt;-15.176779&lt;/D&gt;&lt;D xsi:type="xsd:double"&gt;-2.1426916&lt;/D&gt;&lt;D xsi:type="xsd:double"&gt;-10.017956&lt;/D&gt;&lt;D xsi:type="xsd:double"&gt;4.2298555&lt;/D&gt;&lt;D xsi:type="xsd:double"&gt;-0.84227324&lt;/D&gt;&lt;D xsi:type="xsd:double"&gt;-2.9343665&lt;/D&gt;&lt;D xsi:type="xsd:double"&gt;14.797139&lt;/D&gt;&lt;D xsi:type="xsd:double"&gt;-2.4727762&lt;/D&gt;&lt;D xsi:type="xsd:double"&gt;13.449025&lt;/D&gt;&lt;D xsi:type="xsd:double"&gt;-5.6724014&lt;/D&gt;&lt;D xsi:type="xsd:double"&gt;-3.5810769&lt;/D&gt;&lt;D xsi:type="xsd:double"&gt;10.6166725&lt;/D&gt;&lt;D xsi:type="xsd:double"&gt;-4.086155&lt;/D&gt;&lt;D xsi:type="xsd:double"&gt;6.3061476&lt;/D&gt;&lt;D xsi:type="xsd:double"&gt;4.6138644&lt;/D&gt;&lt;D xsi:type="xsd:double"&gt;-5.5353165&lt;/D&gt;&lt;D xsi:type="xsd:double"&gt;0.70807934&lt;/D&gt;&lt;D xsi:type="xsd:double"&gt;-6.6794515&lt;/D&gt;&lt;D xsi:type="xsd:double"&gt;5.199313&lt;/D&gt;&lt;D xsi:type="xsd:double"&gt;12.858176&lt;/D&gt;&lt;D xsi:type="xsd:double"&gt;-1.9998312&lt;/D&gt;&lt;D xsi:type="xsd:double"&gt;5.3550243&lt;/D&gt;&lt;D xsi:type="xsd:double"&gt;9.500504&lt;/D&gt;&lt;D xsi:type="xsd:double"&gt;4.2979956&lt;/D&gt;&lt;D xsi:type="xsd:double"&gt;10.139858&lt;/D&gt;&lt;D xsi:type="xsd:double"&gt;-6.3125668&lt;/D&gt;&lt;D xsi:type="xsd:double"&gt;1.7234921&lt;/D&gt;&lt;/FQL&gt;&lt;FQL&gt;&lt;Q&gt;EPU^FMA_DIV_YLD(NTMA,-10AY,0,AM,"PORTAGG","MEANR")&lt;/Q&gt;&lt;R&gt;121&lt;/R&gt;&lt;C&gt;1&lt;/C&gt;&lt;D xsi:type="xsd:double"&gt;2.23530259538195&lt;/D&gt;&lt;D xsi:type="xsd:double"&gt;2.16064045769389&lt;/D&gt;&lt;D xsi:type="xsd:double"&gt;2.14754039493854&lt;/D&gt;&lt;D xsi:type="xsd:double"&gt;2.30137152757176&lt;/D&gt;&lt;D xsi:type="xsd:double"&gt;2.26402139044502&lt;/D&gt;&lt;D xsi:type="xsd:double"&gt;2.17252271993088&lt;/D&gt;&lt;D xsi:type="xsd:double"&gt;2.26731739626595&lt;/D&gt;&lt;D xsi:type="xsd:double"&gt;2.158994161011&lt;/D&gt;&lt;D xsi:type="xsd:double"&gt;2.34912491024735&lt;/D&gt;&lt;D xsi:type="xsd:double"&gt;2.24344063269265&lt;/D&gt;&lt;D xsi:type="xsd:double"&gt;1.92348249006184&lt;/D&gt;&lt;D xsi:type="xsd:double"&gt;2.0332659224264&lt;/D&gt;&lt;D xsi:type="xsd:double"&gt;2.03385372270408&lt;/D&gt;&lt;D xsi:type="xsd:double"&gt;2.32577582536063&lt;/D&gt;&lt;D xsi:type="xsd:double"&gt;2.50462332980405&lt;/D&gt;&lt;D xsi:type="xsd:double"&gt;2.555240434217&lt;/D&gt;&lt;D xsi:type="xsd:double"&gt;2.28818180124143&lt;/D&gt;&lt;D xsi:type="xsd:double"&gt;2.75456909060969&lt;/D&gt;&lt;D xsi:type="xsd:double"&gt;2.9800675810191&lt;/D&gt;&lt;D xsi:type="xsd:double"&gt;2.52290083575503&lt;/D&gt;&lt;D xsi:type="xsd:double"&gt;2.0934778907672&lt;/D&gt;&lt;D xsi:type="xsd:double"&gt;1.89086061837135&lt;/D&gt;&lt;D xsi:type="xsd:double"&gt;1.75378990204835&lt;/D&gt;&lt;D xsi:type="xsd:double"&gt;1.81172205445333&lt;/D&gt;&lt;D xsi:type="xsd:double"&gt;1.72307716364802&lt;/D&gt;&lt;D xsi:type="xsd:double"&gt;1.40860649508291&lt;/D&gt;&lt;D xsi:type="xsd:double"&gt;1.54412453568345&lt;/D&gt;&lt;D xsi:type="xsd:double"&gt;1.54308151939514&lt;/D&gt;&lt;D xsi:type="xsd:double"&gt;1.97437753366867&lt;/D&gt;&lt;D xsi:type="xsd:double"&gt;2.22603425258207&lt;/D&gt;&lt;D xsi:type="xsd:double"&gt;2.23085811393515&lt;/D&gt;&lt;D xsi:type="xsd:double"&gt;1.98198162334293&lt;/D&gt;&lt;D xsi:type="xsd:double"&gt;2.13758722802807&lt;/D&gt;&lt;D xsi:type="xsd:double"&gt;2.09951504249684&lt;/D&gt;&lt;D xsi:type="xsd:double"&gt;2.20918219022645&lt;/D&gt;&lt;D xsi:type="xsd:double"&gt;2.28564675059628&lt;/D&gt;&lt;D xsi:type="xsd:double"&gt;2.25829963197409&lt;/D&gt;&lt;D xsi:type="xsd:double"&gt;2.24983596107822&lt;/D&gt;&lt;D xsi:type="xsd:double"&gt;2.25793118843143&lt;/D&gt;&lt;D xsi:type="xsd:double"&gt;2.40353307248614&lt;/D&gt;&lt;D xsi:type="xsd:double"&gt;2.70685480445346&lt;/D&gt;&lt;D xsi:type="xsd:double"&gt;2.84996909732651&lt;/D&gt;&lt;D xsi:type="xsd:double"&gt;2.56584744941528&lt;/D&gt;&lt;D xsi:type="xsd:double"&gt;2.51930944419881&lt;/D&gt;&lt;D xsi:type="xsd:double"&gt;2.22418601658337&lt;/D&gt;&lt;D xsi:type="xsd:double"&gt;2.0828718319635&lt;/D&gt;&lt;D xsi:type="xsd:double"&gt;4.6945559600009&lt;/D&gt;&lt;D xsi:type="xsd:double"&gt;1.9626016291184&lt;/D&gt;&lt;D xsi:type="xsd:double"&gt;2.11735452164766&lt;/D&gt;&lt;D xsi:type="xsd:double"&gt;4.41231343634928&lt;/D&gt;&lt;D xsi:type="xsd:double"&gt;2.45105169099396&lt;/D&gt;&lt;D xsi:type="xsd:double"&gt;2.41196238279644&lt;/D&gt;&lt;D xsi:type="xsd:double"&gt;2.23846010668434&lt;/D&gt;&lt;D xsi:type="xsd:double"&gt;2.40018485102789&lt;/D&gt;&lt;D xsi:type="xsd:double"&gt;2.29809489770744&lt;/D&gt;&lt;D xsi:type="xsd:double"&gt;2.17752560136634&lt;/D&gt;&lt;D xsi:type="xsd:double"&gt;2.22785798748993&lt;/D&gt;&lt;D xsi:type="xsd:double"&gt;2.33484908227307&lt;/D&gt;&lt;D xsi:type="xsd:double"&gt;2.7071059777388&lt;/D&gt;&lt;D xsi:type="xsd:double"&gt;2.71050195458979&lt;/D&gt;&lt;D xsi:type="xsd:double"&gt;2.6537497501688&lt;/D&gt;&lt;D xsi:type="xsd:double"&gt;2.9624293497009&lt;/D&gt;&lt;D xsi:type="xsd:double"&gt;2.9874049493745&lt;/D&gt;&lt;D xsi:type="xsd:double"&gt;3.03771668245024&lt;/D&gt;&lt;D xsi:type="xsd:double"&gt;2.94626797486444&lt;/D&gt;&lt;D xsi:type="xsd:double"&gt;2.64622702915005&lt;/D&gt;&lt;D xsi:type="xsd:double"&gt;2.61665182681431&lt;/D&gt;&lt;D xsi:type="xsd:double"&gt;2.94946350401097&lt;/D&gt;&lt;D xsi:type="xsd:double"&gt;4.51368696745698&lt;/D&gt;&lt;D xsi:type="xsd:double"&gt;4.00065764549678&lt;/D&gt;&lt;D xsi:type="xsd:double"&gt;3.1798565759518&lt;/D&gt;&lt;D xsi:type="xsd:double"&gt;3.13767163882019&lt;/D&gt;&lt;D xsi:type="xsd:double"&gt;3.02379073299739&lt;/D&gt;&lt;D xsi:type="xsd:double"&gt;2.50839333315515&lt;/D&gt;&lt;D xsi:type="xsd:double"&gt;2.5785738323651&lt;/D&gt;&lt;D xsi:type="xsd:double"&gt;2.64093874182514&lt;/D&gt;&lt;D xsi:type="xsd:double"&gt;2.19324214199601</t>
        </r>
      </text>
    </comment>
    <comment ref="A23" authorId="0" shapeId="0" xr:uid="{0CA98F00-2EE1-4E1B-B2E2-ECB9F64AEFCA}">
      <text>
        <r>
          <rPr>
            <b/>
            <sz val="9"/>
            <color indexed="81"/>
            <rFont val="Tahoma"/>
            <charset val="1"/>
          </rPr>
          <t>&lt;/D&gt;&lt;D xsi:type="xsd:double"&gt;1.71679142746658&lt;/D&gt;&lt;D xsi:type="xsd:double"&gt;1.69893858193854&lt;/D&gt;&lt;D xsi:type="xsd:double"&gt;1.71134595871896&lt;/D&gt;&lt;D xsi:type="xsd:double"&gt;2.02505115815126&lt;/D&gt;&lt;D xsi:type="xsd:double"&gt;2.20141911914692&lt;/D&gt;&lt;D xsi:type="xsd:double"&gt;2.33686643245785&lt;/D&gt;&lt;D xsi:type="xsd:double"&gt;2.90600066769239&lt;/D&gt;&lt;D xsi:type="xsd:double"&gt;3.07049696570813&lt;/D&gt;&lt;D xsi:type="xsd:double"&gt;3.75678718981559&lt;/D&gt;&lt;D xsi:type="xsd:double"&gt;3.65443991922084&lt;/D&gt;&lt;D xsi:type="xsd:double"&gt;3.44865872983946&lt;/D&gt;&lt;D xsi:type="xsd:double"&gt;3.78822477316094&lt;/D&gt;&lt;D xsi:type="xsd:double"&gt;4.26955808968037&lt;/D&gt;&lt;D xsi:type="xsd:double"&gt;3.53571226422654&lt;/D&gt;&lt;D xsi:type="xsd:double"&gt;3.44376375206005&lt;/D&gt;&lt;D xsi:type="xsd:double"&gt;3.55529061383776&lt;/D&gt;&lt;D xsi:type="xsd:double"&gt;3.8449750586546&lt;/D&gt;&lt;D xsi:type="xsd:double"&gt;4.59514448849247&lt;/D&gt;&lt;D xsi:type="xsd:double"&gt;5.0126040750266&lt;/D&gt;&lt;D xsi:type="xsd:double"&gt;5.23941918789989&lt;/D&gt;&lt;D xsi:type="xsd:double"&gt;5.26645422777705&lt;/D&gt;&lt;D xsi:type="xsd:double"&gt;4.94060610165921&lt;/D&gt;&lt;D xsi:type="xsd:double"&gt;5.19186703667139&lt;/D&gt;&lt;D xsi:type="xsd:double"&gt;3.81985416263642&lt;/D&gt;&lt;D xsi:type="xsd:double"&gt;3.95220590746391&lt;/D&gt;&lt;D xsi:type="xsd:double"&gt;3.60095442839292&lt;/D&gt;&lt;D xsi:type="xsd:double"&gt;4.20756585703112&lt;/D&gt;&lt;D xsi:type="xsd:double"&gt;4.80218369390156&lt;/D&gt;&lt;D xsi:type="xsd:double"&gt;4.62574056472054&lt;/D&gt;&lt;D xsi:type="xsd:double"&gt;5.05746172588763&lt;/D&gt;&lt;D xsi:type="xsd:double"&gt;4.88423630320489&lt;/D&gt;&lt;D xsi:type="xsd:double"&gt;4.57080620600375&lt;/D&gt;&lt;D xsi:type="xsd:double"&gt;4.66479468850364&lt;/D&gt;&lt;D xsi:type="xsd:double"&gt;4.86295292469204&lt;/D&gt;&lt;D xsi:type="xsd:double"&gt;5.16024157913032&lt;/D&gt;&lt;D xsi:type="xsd:double"&gt;4.33592544617546&lt;/D&gt;&lt;D xsi:type="xsd:double"&gt;3.73609715106604&lt;/D&gt;&lt;D xsi:type="xsd:double"&gt;3.55472476177202&lt;/D&gt;&lt;D xsi:type="xsd:double"&gt;3.72223542202051&lt;/D&gt;&lt;D xsi:type="xsd:double"&gt;3.50562987821217&lt;/D&gt;&lt;D xsi:type="xsd:double"&gt;3.41644209946296&lt;/D&gt;&lt;D xsi:type="xsd:double"&gt;3.40198497779085&lt;/D&gt;&lt;D xsi:type="xsd:double"&gt;4.06515162063739&lt;/D&gt;&lt;D xsi:type="xsd:double"&gt;4.02158491169151&lt;/D&gt;&lt;/FQL&gt;&lt;FQL&gt;&lt;Q&gt;EWM^FMA_PE(LTMA,-10AY,0,AM,"PORTAGG","MEANR")&lt;/Q&gt;&lt;R&gt;121&lt;/R&gt;&lt;C&gt;1&lt;/C&gt;&lt;D xsi:type="xsd:double"&gt;16.6769401926446&lt;/D&gt;&lt;D xsi:type="xsd:double"&gt;16.7633860533298&lt;/D&gt;&lt;D xsi:type="xsd:double"&gt;16.7825669906832&lt;/D&gt;&lt;D xsi:type="xsd:double"&gt;16.3220444486577&lt;/D&gt;&lt;D xsi:type="xsd:double"&gt;16.5462124128176&lt;/D&gt;&lt;D xsi:type="xsd:double"&gt;15.9731622584369&lt;/D&gt;&lt;D xsi:type="xsd:double"&gt;16.1723007875636&lt;/D&gt;&lt;D xsi:type="xsd:double"&gt;16.5603148608739&lt;/D&gt;&lt;D xsi:type="xsd:double"&gt;17.021712146916&lt;/D&gt;&lt;D xsi:type="xsd:double"&gt;17.0357761151195&lt;/D&gt;&lt;D xsi:type="xsd:double"&gt;16.8922037727703&lt;/D&gt;&lt;D xsi:type="xsd:double"&gt;16.6167606658179&lt;/D&gt;&lt;D xsi:type="xsd:double"&gt;16.6086089496158&lt;/D&gt;&lt;D xsi:type="xsd:double"&gt;15.7043459586257&lt;/D&gt;&lt;D xsi:type="xsd:double"&gt;16.4309287502317&lt;/D&gt;&lt;D xsi:type="xsd:double"&gt;16.842360729577&lt;/D&gt;&lt;D xsi:type="xsd:double"&gt;16.3861550913597&lt;/D&gt;&lt;D xsi:type="xsd:double"&gt;16.4243155559563&lt;/D&gt;&lt;D xsi:type="xsd:double"&gt;16.1566643748692&lt;/D&gt;&lt;D xsi:type="xsd:double"&gt;16.6628164330219&lt;/D&gt;&lt;D xsi:type="xsd:double"&gt;16.672641348236&lt;/D&gt;&lt;D xsi:type="xsd:double"&gt;16.6484663354089&lt;/D&gt;&lt;D xsi:type="xsd:double"&gt;16.3937633622417&lt;/D&gt;&lt;D xsi:type="xsd:double"&gt;16.5492480107879&lt;/D&gt;&lt;D xsi:type="xsd:double"&gt;16.8463387000889&lt;/D&gt;&lt;D xsi:type="xsd:double"&gt;17.0432805645643&lt;/D&gt;&lt;D xsi:type="xsd:double"&gt;17.063015896251&lt;/D&gt;&lt;D xsi:type="xsd:double"&gt;17.3463249230078&lt;/D&gt;&lt;D xsi:type="xsd:double"&gt;17.0029012884874&lt;/D&gt;&lt;D xsi:type="xsd:double"&gt;16.9800465925681&lt;/D&gt;&lt;D xsi:type="xsd:double"&gt;17.1964597544298&lt;/D&gt;&lt;D xsi:type="xsd:double"&gt;17.2845178169441&lt;/D&gt;&lt;D xsi:type="xsd:double"&gt;17.1205544343166&lt;/D&gt;&lt;D xsi:type="xsd:double"&gt;17.1314475682251&lt;/D&gt;&lt;D xsi:type="xsd:double"&gt;17.2848505780122&lt;/D&gt;&lt;D xsi:type="xsd:double"&gt;17.2749636767566&lt;/D&gt;&lt;D xsi:type="xsd:double"&gt;17.1652630233798&lt;/D&gt;&lt;D xsi:type="xsd:double"&gt;17.3471186722232&lt;/D&gt;&lt;D xsi:type="xsd:double"&gt;17.53508178467&lt;/D&gt;&lt;D xsi:type="xsd:double"&gt;17.3601282777593&lt;/D&gt;&lt;D xsi:type="xsd:double"&gt;17.1563321373947&lt;/D&gt;&lt;D xsi:type="xsd:double"&gt;17.7548212445043&lt;/D&gt;&lt;D xsi:type="xsd:double"&gt;18.6107229861185&lt;/D&gt;&lt;D xsi:type="xsd:double"&gt;18.5014942934472&lt;/D&gt;&lt;D xsi:type="xsd:double"&gt;18.4527702183566&lt;/D&gt;&lt;D xsi:type="xsd:double"&gt;18.3929888701767&lt;/D&gt;&lt;D xsi:type="xsd:double"&gt;18.1361551352909&lt;/D&gt;&lt;D xsi:type="xsd:double"&gt;17.6896237487286&lt;/D&gt;&lt;D xsi:type="xsd:double"&gt;17.7251350011665&lt;/D&gt;&lt;D xsi:type="xsd:double"&gt;17.7965788696396&lt;/D&gt;&lt;D xsi:type="xsd:double"&gt;17.7477832804886&lt;/D&gt;&lt;D xsi:type="xsd:double"&gt;17.0035961525623&lt;/D&gt;&lt;D xsi:type="xsd:double"&gt;16.8147168744809&lt;/D&gt;&lt;D xsi:type="xsd:double"&gt;16.618457098114&lt;/D&gt;&lt;D xsi:type="xsd:double"&gt;16.9674077438565&lt;/D&gt;&lt;D xsi:type="xsd:double"&gt;17.1532296132643&lt;/D&gt;&lt;D xsi:type="xsd:double"&gt;17.0627407882642&lt;/D&gt;&lt;D xsi:type="xsd:double"&gt;16.8654058827969&lt;/D&gt;&lt;D xsi:type="xsd:double"&gt;16.7301500169625&lt;/D&gt;&lt;D xsi:type="xsd:double"&gt;17.1767949356179&lt;/D&gt;&lt;D xsi:type="xsd:double"&gt;17.1637125494707&lt;/D&gt;&lt;D xsi:type="xsd:double"&gt;16.8222289764391&lt;/D&gt;&lt;D xsi:type="xsd:double"&gt;16.8709682225725&lt;/D&gt;&lt;D xsi:type="xsd:double"&gt;16.6438120134496&lt;/D&gt;&lt;D xsi:type="xsd:double"&gt;16.9287880898782&lt;/D&gt;&lt;D xsi:type="xsd:double"&gt;17.0856070452203&lt;/D&gt;&lt;D xsi:type="xsd:double"&gt;17.0203790525232&lt;/D&gt;&lt;D xsi:type="xsd:double"&gt;16.384825956751&lt;/D&gt;&lt;D xsi:type="xsd:double"&gt;15.8154726181362&lt;/D&gt;&lt;D xsi:type="xsd:double"&gt;16.4974787939339&lt;/D&gt;&lt;D xsi:type="xsd:double"&gt;16.8352496567487&lt;/D&gt;&lt;D xsi:type="xsd:double"&gt;18.485291061397&lt;/D&gt;&lt;D xsi:type="xsd:double"&gt;19.5425043495802&lt;/D&gt;&lt;D xsi:type="xsd:double"&gt;19.7088512212249&lt;/D&gt;&lt;D xsi:type="xsd:double"&gt;19.9202794109049&lt;/D&gt;&lt;D xsi:type="xsd:double"&gt;20.7543207050986&lt;/D&gt;&lt;D xsi:type="xsd:double"&gt;20.7361632426825&lt;/D&gt;&lt;D xsi:type="xsd:double"&gt;21.3519796441066&lt;/D&gt;&lt;D xsi:type="xsd:double"&gt;20.4912611099124&lt;/D&gt;&lt;D xsi:type="xsd:double"&gt;19.293794271826&lt;/D&gt;&lt;D xsi:type="xsd:double"&gt;19.518565739249&lt;/D&gt;&lt;D xsi:type="xsd:double"&gt;18.8899686309855&lt;/D&gt;&lt;D xsi:type="xsd:double"&gt;18.2013613249109&lt;/D&gt;&lt;D xsi:type="xsd:double"&gt;17.6880989009581&lt;/D&gt;&lt;D xsi:type="xsd:double"&gt;16.8291928214957&lt;/D&gt;&lt;D xsi:type="xsd:double"&gt;16.0846539873822&lt;/D&gt;&lt;D xsi:type="xsd:double"&gt;15.8927665603951&lt;/D&gt;&lt;D xsi:type="xsd:double"&gt;15.6831583984966&lt;/D&gt;&lt;D xsi:type="xsd:double"&gt;14.5639394119246&lt;/D&gt;&lt;D xsi:type="xsd:double"&gt;15.0916243126666&lt;/D&gt;&lt;D xsi:type="xsd:double"&gt;15.1523390215172&lt;/D&gt;&lt;D xsi:type="xsd:double"&gt;15.7854194389462&lt;/D&gt;&lt;D xsi:type="xsd:double"&gt;15.913844236274&lt;/D&gt;&lt;D xsi:type="xsd:double"&gt;15.8117757131877&lt;/D&gt;&lt;D xsi:type="xsd:double"&gt;15.6233352196541&lt;/D&gt;&lt;D xsi:type="xsd:double"&gt;15.1885317731594&lt;/D&gt;&lt;D xsi:type="xsd:double"&gt;14.9672840054716&lt;/D&gt;&lt;D xsi:type="xsd:double"&gt;15.302533839148&lt;/D&gt;&lt;D xsi:type="xsd:double"&gt;14.8746023192905&lt;/D&gt;&lt;D xsi:type="xsd:double"&gt;14.5138720278119&lt;/D&gt;&lt;D xsi:type="xsd:double"&gt;14.6639002601583&lt;/D&gt;&lt;D xsi:type="xsd:double"&gt;14.8372081310193&lt;/D&gt;&lt;D xsi:type="xsd:double"&gt;14.9839947592408&lt;/D&gt;&lt;D xsi:type="xsd:double"&gt;14.6702238542543&lt;/D&gt;&lt;D xsi:type="xsd:double"&gt;14.7369647231037&lt;/D&gt;&lt;D xsi:type="xsd:double"&gt;14.6311801588193&lt;/D&gt;&lt;D xsi:type="xsd:double"&gt;14.5493944383246&lt;/D&gt;&lt;D xsi:type="xsd:double"&gt;14.5427356785689&lt;/D&gt;&lt;D xsi:type="xsd:double"&gt;14.5792690304411&lt;/D&gt;&lt;D xsi:type="xsd:double"&gt;14.7379483151541&lt;/D&gt;&lt;D xsi:type="xsd:double"&gt;14.9519753766115&lt;/D&gt;&lt;D xsi:type="xsd:double"&gt;14.8575338964745&lt;/D&gt;&lt;D xsi:type="xsd:double"&gt;14.9743519088648&lt;/D&gt;&lt;D xsi:type="xsd:double"&gt;15.2550227782999&lt;/D&gt;&lt;D xsi:type="xsd:double"&gt;15.2241818594928&lt;/D&gt;&lt;D xsi:type="xsd:double"&gt;15.5497020186247&lt;/D&gt;&lt;D xsi:type="xsd:double"&gt;15.7472205566897&lt;/D&gt;&lt;D xsi:type="xsd:double"&gt;15.605171460216&lt;/D&gt;&lt;D xsi:type="xsd:double"&gt;15.6821589669866&lt;/D&gt;&lt;D xsi:type="xsd:double"&gt;15.4481057122154&lt;/D&gt;&lt;D xsi:type="xsd:double"&gt;15.5091762101181&lt;/D&gt;&lt;/FQL&gt;&lt;FQL&gt;&lt;Q&gt;WL-FDS^FG_PRICE_CHANGE(0,-3AM)&lt;/Q&gt;&lt;R&gt;1&lt;/R&gt;&lt;C&gt;1&lt;/C&gt;&lt;D xsi:type="xsd:double"&gt;-3.95740905057674&lt;/D&gt;&lt;/FQL&gt;&lt;FQL&gt;&lt;Q&gt;PLATI-FDS^MAX(FG_PRICE(0,-5AY))&lt;/Q&gt;&lt;R&gt;1&lt;/R&gt;&lt;C&gt;1&lt;/C&gt;&lt;D xsi:type="xsd:double"&gt;1272.59&lt;/D&gt;&lt;/FQL&gt;&lt;FQL&gt;&lt;Q&gt;MCHI^FG_PRICE_MAVG(0,,,,60)&lt;/Q&gt;&lt;R&gt;1&lt;/R&gt;&lt;C&gt;1&lt;/C&gt;&lt;D xsi:type="xsd:double"&gt;43.8205&lt;/D&gt;&lt;/FQL&gt;&lt;FQL&gt;&lt;Q&gt;UAE^P_PRICE(0)/P_PRICE_HIGH_PR(0,,,,,,"PRICE","INTRA","52W")&lt;/Q&gt;&lt;R&gt;1&lt;/R&gt;&lt;C&gt;1&lt;/C&gt;&lt;D xsi:type="xsd:double"&gt;0.90977484&lt;/D&gt;&lt;/FQL&gt;&lt;FQL&gt;&lt;Q&gt;SET-BKK^FG_TOTAL_RETURNC(0,-3AM)&lt;/Q&gt;&lt;R&gt;1&lt;/R&gt;&lt;C&gt;1&lt;/C&gt;&lt;D xsi:type="xsd:double"&gt;-1.1215508&lt;/D&gt;&lt;/FQL&gt;&lt;FQL&gt;&lt;Q&gt;EWY^FG_TOTAL_RETURNC(0,-12AM)&lt;/Q&gt;&lt;R&gt;1&lt;/R&gt;&lt;C&gt;1&lt;/C&gt;&lt;D xsi:type="xsd:double"&gt;-0.27382374&lt;/D&gt;&lt;/FQL&gt;&lt;FQL&gt;&lt;Q&gt;EPU^FG_TOTAL_RETURNC(0,-6AM)&lt;/Q&gt;&lt;R&gt;1&lt;/R&gt;&lt;C&gt;1&lt;/C&gt;&lt;D xsi:type="xsd:double"&gt;26.297401&lt;/D&gt;&lt;/FQL&gt;&lt;FQL&gt;&lt;Q&gt;ECH^FG_TOTAL_RETURNC(0,-3AM)&lt;/Q&gt;&lt;R&gt;1&lt;/R&gt;&lt;C&gt;1&lt;/C&gt;&lt;D xsi:type="xsd:double"&gt;2.5537252&lt;/D&gt;&lt;/FQL&gt;&lt;FQL&gt;&lt;Q&gt;EWJ^P_PRICE(0)/P_PRICE_LOW_PR(0,,,,,,"PRICE","INTRA","52W")-1&lt;/Q&gt;&lt;R&gt;1&lt;/R&gt;&lt;C&gt;1&lt;/C&gt;&lt;D xsi:type="xsd:double"&gt;0.22307694&lt;/D&gt;&lt;/FQL&gt;&lt;FQL&gt;&lt;Q&gt;EZA^FMA_COS_DOWN("EPS","1M",+1,NOW,,,"PORTAGG","MEANR")&lt;/Q&gt;&lt;R&gt;1&lt;/R&gt;&lt;C&gt;1&lt;/C&gt;&lt;D xsi:type="xsd:double"&gt;17&lt;/D&gt;&lt;/FQL&gt;&lt;FQL&gt;&lt;Q&gt;EPU^FMA_COS_DOWN("EPS","1M",+1,NOW,,,"PORTAGG","MEANR")&lt;/Q&gt;&lt;R&gt;1&lt;/R&gt;&lt;C&gt;1&lt;/C&gt;&lt;D xsi:type="xsd:double"&gt;3&lt;/D&gt;&lt;/FQL&gt;&lt;FQL&gt;&lt;Q&gt;VNM^FMA_RBICS_REV_CURRENT(30, LOC, "PORTAGG")&lt;/Q&gt;&lt;R&gt;1&lt;/R&gt;&lt;C&gt;1&lt;/C&gt;&lt;D xsi:type="xsd:double"&gt;54.5054539765416&lt;/D&gt;&lt;/FQL&gt;&lt;FQL&gt;&lt;Q&gt;ECH^FMA_RBICS_REV_CURRENT(30, LOC, "PORTAGG")&lt;/Q&gt;&lt;R&gt;1&lt;/R&gt;&lt;C&gt;1&lt;/C&gt;&lt;D xsi:type="xsd:double"&gt;33.0319854376697&lt;/D&gt;&lt;/FQL&gt;&lt;FQL&gt;&lt;Q&gt;EPU^FG_ROE(0)&lt;/Q&gt;&lt;R&gt;1&lt;/R&gt;&lt;C&gt;1&lt;/C&gt;&lt;D xsi:type="xsd:double"&gt;9.86078518270581&lt;/D&gt;&lt;/FQL&gt;&lt;FQL&gt;&lt;Q&gt;REFAEREPO-FDS^FG_YIELD(NOW,,,0)&lt;/Q&gt;&lt;R&gt;1&lt;/R&gt;&lt;C&gt;1&lt;/C&gt;&lt;D xsi:type="xsd:double"&gt;5.4&lt;/D&gt;&lt;/FQL&gt;&lt;FQL&gt;&lt;Q&gt;REFEUREFI-FDS^(SUBARRAY(NOT_NA(NO_REPEAT_F(FG_YIELD(NOW,-10AY,D))),0,1)-SUBARRAY(NOT_NA(NO_REPEAT_F(FG_YIELD(NOW,-10AY,D))),1,1))*100&lt;/Q&gt;&lt;R&gt;1&lt;/R&gt;&lt;C&gt;1&lt;/C&gt;&lt;D xsi:type="xsd:double"&gt;-25&lt;/D&gt;&lt;/FQL&gt;&lt;FQL&gt;&lt;Q&gt;REFTWDISC-FDS^PROPER_NAME(0,,,"SECURITY","NAME")&lt;/Q&gt;&lt;R&gt;1&lt;/R&gt;&lt;C&gt;1&lt;/C&gt;&lt;D xsi:type="xsd:string"&gt;Taiwan China Discount Rate&lt;/D&gt;&lt;/FQL&gt;&lt;FQL&gt;&lt;Q&gt;REFCLMPR-FDS^FG_YIELD(NOW,,,0)&lt;/Q&gt;&lt;R&gt;1&lt;/R&gt;&lt;C&gt;1&lt;/C&gt;&lt;D xsi:type="xsd:double"&gt;5.75&lt;/D&gt;&lt;/FQL&gt;&lt;FQL&gt;&lt;Q&gt;TRYPE10Y-FDS^PCTCHG(FG_YIELD(0,,,,"YTM"),FG_YIELD(-3AM,,,,"YTM"))&lt;/Q&gt;&lt;R&gt;1&lt;/R&gt;&lt;C&gt;1&lt;/C&gt;&lt;D xsi:type="xsd:double"&gt;-6.8239484&lt;/D&gt;&lt;/FQL&gt;&lt;FQL&gt;&lt;Q&gt;TRYBR10Y-FDS^FG_YIELD(0,,,,"YTM")&lt;/Q&gt;&lt;R&gt;1&lt;/R&gt;&lt;C&gt;1&lt;/C&gt;&lt;D xsi:type="xsd:double"&gt;12.276152&lt;/D&gt;&lt;/FQL&gt;&lt;FQL&gt;&lt;Q&gt;CC_MX^IMF_IFS_RCPI_Q(0)&lt;/Q&gt;&lt;R&gt;0&lt;/R&gt;&lt;C&gt;0&lt;/C&gt;&lt;/FQL&gt;&lt;FQL&gt;&lt;Q&gt;VGK^FMA_EVAL_EBITDA(NTMA,0,,,"PORTAGG","MEANR")&lt;/Q&gt;&lt;R&gt;1&lt;/R&gt;&lt;C&gt;1&lt;/C&gt;&lt;D xsi:type="xsd:double"&gt;8.96001060085994&lt;/D&gt;&lt;/FQL&gt;&lt;FQL&gt;&lt;Q&gt;VNM^FMA_PE(NTMA,0,,,"PORTAGG","MEANR")&lt;/Q&gt;&lt;R&gt;1&lt;/R&gt;&lt;C&gt;1&lt;/C&gt;&lt;D xsi:type="xsd:double"&gt;14.1338767875171&lt;/D&gt;&lt;/FQL&gt;&lt;FQL&gt;&lt;Q&gt;SET-BKK^FMA_EVAL_EBIT(LTMA,NOW,NOW,M,"PORTAGG","MEANR")&lt;/Q&gt;&lt;R&gt;1&lt;/R&gt;&lt;C&gt;1&lt;/C&gt;&lt;D xsi:type="xsd:double"&gt;18.1535947991314&lt;/D&gt;&lt;/FQL&gt;&lt;FQL&gt;&lt;Q&gt;MCHI^FMA_DIV_YLD(NTMA,NOW,NOW,M,"PORTAGG","MEANR")&lt;/Q&gt;&lt;R&gt;1&lt;/R&gt;&lt;C&gt;1&lt;/C&gt;&lt;D xsi:type="xsd:double"&gt;2.95568682303138&lt;/D&gt;&lt;/FQL&gt;&lt;FQL&gt;&lt;Q&gt;GREK^JULIAN(FMA_DIV_YLD(NTMA,NOW,NOW,M,"PORTAGG","MEANR").DATES)&lt;/Q&gt;&lt;R&gt;1&lt;/R&gt;&lt;C&gt;1&lt;/C&gt;&lt;D xsi:type="xsd:long"&gt;45471&lt;/D&gt;&lt;/FQL&gt;&lt;FQL&gt;&lt;Q&gt;EWY^FG_FCF_YIELD_NTM(0)&lt;/Q&gt;&lt;R&gt;1&lt;/R&gt;&lt;C&gt;1&lt;/C&gt;&lt;D xsi:type="xsd:double"&gt;5.59274793595943&lt;/D&gt;&lt;/FQL&gt;&lt;FQL&gt;&lt;Q&gt;EPOL^FMA_EVAL_EBITDA(NTMA,0,,,"PORTAGG","MEANR")&lt;/Q&gt;&lt;R&gt;1&lt;/R&gt;&lt;C&gt;1&lt;/C&gt;&lt;D xsi:type="xsd:double"&gt;4.76022092837631&lt;/D&gt;&lt;/FQL&gt;&lt;FQL&gt;&lt;Q&gt;EIDO^FMA_PE(NTMA,0,,,"PORTAGG","MEANR")&lt;/Q&gt;&lt;R&gt;1&lt;/R&gt;&lt;C&gt;1&lt;/C&gt;&lt;D xsi:type="xsd:double"&gt;12.3073397143557&lt;/D&gt;&lt;/FQL&gt;&lt;FQL&gt;&lt;Q&gt;CC_US^IMF_IFS_RCPI_Q(0)&lt;/Q&gt;&lt;R&gt;0&lt;/R&gt;&lt;C&gt;0&lt;/C&gt;&lt;/FQL&gt;&lt;FQL&gt;&lt;Q&gt;EPU^FG_COMPANY_NAME&lt;/Q&gt;&lt;R&gt;1&lt;/R&gt;&lt;C&gt;1&lt;/C&gt;&lt;D xsi:type="xsd:string"&gt;iShares MSCI Peru and Global Exposure ETF&lt;/D&gt;&lt;/FQL&gt;&lt;FQL&gt;&lt;Q&gt;USDTHB^FG_PRICE_CHANGE(0,-1AY)&lt;/Q&gt;&lt;R&gt;1&lt;/R&gt;&lt;C&gt;1&lt;/C&gt;&lt;D xsi:type="xsd:double"&gt;6.580484&lt;/D&gt;&lt;/FQL&gt;&lt;FQL&gt;&lt;Q&gt;USDEUR^FG_PRICE_CHANGE(0,-1AY)&lt;/Q&gt;&lt;R&gt;1&lt;/R&gt;&lt;C&gt;1&lt;/C&gt;&lt;D xsi:type="xsd:double"&gt;2.7639985&lt;/D&gt;&lt;/FQL&gt;&lt;FQL&gt;&lt;Q&gt;USDCLP^STD(FG_PRICE_CHANGE(0,-1AY,AM))&lt;/Q&gt;&lt;R&gt;1&lt;/R&gt;&lt;C&gt;1&lt;/C&gt;&lt;D xsi:type="xsd:double"&gt;4.45845664421339&lt;/D&gt;&lt;/FQL&gt;&lt;FQL&gt;&lt;Q&gt;FC0000TW^FMA_EPS(NTMA,-20AY,0,CY,,"PORTAGG","MEANR")&lt;/Q&gt;&lt;R&gt;20&lt;/R&gt;&lt;C&gt;1&lt;/C&gt;&lt;D xsi:type="xsd:double"&gt;9.12031426379573&lt;/D&gt;&lt;D xsi:type="xsd:double"&gt;8.9303476254386&lt;/D&gt;&lt;D xsi:type="xsd:double"&gt;10.2763772347485&lt;/D&gt;&lt;D xsi:type="xsd:double"&gt;12.3642519570992&lt;/D&gt;&lt;D xsi:type="xsd:double"&gt;4.81199406443955&lt;/D&gt;&lt;D xsi:type="xsd:double"&gt;7.91488615207717&lt;/D&gt;&lt;D xsi:type="xsd:double"&gt;11.8918959542291&lt;/D&gt;&lt;D xsi:type="xsd:double"&gt;8.78728433127933&lt;/D&gt;&lt;D xsi:type="xsd:double"&gt;9.24807829331148&lt;/D&gt;&lt;D xsi:type="xsd:double"&gt;10.3356087291291&lt;/D&gt;&lt;D xsi:type="xsd:double"&gt;11.5748258148764&lt;/D&gt;&lt;D xsi:type="xsd:double"&gt;10.8182747076803&lt;/D&gt;&lt;D xsi:type="xsd:double"&gt;11.1314122132999&lt;/D&gt;&lt;D xsi:type="xsd:double"&gt;13.6882434720029&lt;/D&gt;&lt;D xsi:type="xsd:double"&gt;12.8934590818377&lt;/D&gt;&lt;D xsi:type="xsd:double"&gt;12.9786240269014&lt;/D&gt;&lt;D xsi:type="xsd:double"&gt;15.9425104030346&lt;/D&gt;&lt;D xsi:type="xsd:double"&gt;24.3051164384369&lt;/D&gt;&lt;D xsi:type="xsd:double"&gt;19.7601608656572&lt;/D&gt;&lt;D xsi:type="xsd:double"&gt;19.098317327142&lt;/D&gt;&lt;/FQL&gt;&lt;FQL&gt;&lt;Q&gt;EPHE^FMA_PE(NTMA,-10AY,0,AM,"PORTAGG","MEANR")&lt;/Q&gt;&lt;R&gt;121&lt;/R&gt;&lt;C&gt;1&lt;/C&gt;&lt;D xsi:type="xsd:double"&gt;17.2931834133295&lt;/D&gt;&lt;D xsi:type="xsd:double"&gt;17.6304281061089&lt;/D&gt;&lt;D xsi:type="xsd:double"&gt;17.8517432689903&lt;/D&gt;&lt;D xsi:type="xsd:double"&gt;16.9901775194127&lt;/D&gt;&lt;D xsi:type="xsd:double"&gt;17.6772030999257&lt;/D&gt;&lt;D xsi:type="xsd:double"&gt;17.0049549483824&lt;/D&gt;&lt;D xsi:type="xsd:double"&gt;17.7955309724831&lt;/D&gt;&lt;D xsi:type="xsd:double"&gt;18.278119354622&lt;/D&gt;&lt;D xsi:type="xsd:double"&gt;18.2126822517662&lt;/D&gt;&lt;D xsi:type="xsd:double"&gt;18.3149461438074&lt;/D&gt;&lt;D xsi:type="xsd:double"&gt;18.2929155093061&lt;/D&gt;&lt;D xsi:type="xsd:double"&gt;17.4994736170512&lt;/D&gt;&lt;D xsi:type="xsd:double"&gt;17.6377352064297&lt;/D&gt;&lt;D xsi:type="xsd:double"&gt;17.1519228214395&lt;/D&gt;&lt;D xsi:type="xsd:double"&gt;16.7539658963679&lt;/D&gt;&lt;D xsi:type="xsd:double"&gt;16.6485679991163&lt;/D&gt;&lt;D xsi:type="xsd:double"&gt;15.7082186568261&lt;/D&gt;&lt;D xsi:type="xsd:double"&gt;16.0091762181351&lt;/D&gt;&lt;D xsi:type="xsd:double"&gt;14.7202007215004&lt;/D&gt;&lt;D xsi:type="xsd:double"&gt;15.4977660349177&lt;/D&gt;&lt;D xsi:type="xsd:double"&gt;16.6966095141735&lt;/D&gt;&lt;D xsi:type="xsd:double"&gt;16.5881253328724&lt;/D&gt;&lt;D xsi:type="xsd:double"&gt;16.369483088558&lt;/D&gt;&lt;D xsi:type="xsd:double"&gt;17.1772745442876&lt;/D&gt;&lt;D xsi:type="xsd:double"&gt;17.9867165533774&lt;/D&gt;&lt;D xsi:type="xsd:double"&gt;18.1437706837035&lt;/D&gt;&lt;D xsi:type="xsd:double"&gt;16.9928796563512&lt;/D&gt;&lt;D xsi:type="xsd:double"&gt;17.1064077408951&lt;/D&gt;&lt;D xsi:type="xsd:double"&gt;15.6750338745644&lt;/D&gt;&lt;D xsi:type="xsd:double"&gt;15.0243892914539&lt;/D&gt;&lt;D xsi:type="xsd:double"&gt;16.6629903767775&lt;/D&gt;&lt;D xsi:type="xsd:double"&gt;16.5702675575862&lt;/D&gt;&lt;D xsi:type="xsd:double"&gt;16.9618716545775&lt;/D&gt;&lt;D xsi:type="xsd:double"&gt;17.167237967323&lt;/D&gt;&lt;D xsi:type="xsd:double"&gt;17.197596051806&lt;/D&gt;&lt;D xsi:type="xsd:double"&gt;17.7412780193824&lt;/D&gt;&lt;D xsi:type="xsd:double"&gt;16.8795379546622&lt;/D&gt;&lt;D xsi:type="xsd:double"&gt;16.5463325916675&lt;/D&gt;&lt;D xsi:type="xsd:double"&gt;17.0432079313114&lt;/D&gt;&lt;D xsi:type="xsd:double"&gt;18.1411513685566&lt;/D&gt;&lt;D xsi:type="xsd:double"&gt;17.4621163073975&lt;/D&gt;&lt;D xsi:type="xsd:double"&gt;17.2609698547991&lt;/D&gt;&lt;D xsi:type="xsd:double"&gt;18.1386841652769&lt;/D&gt;&lt;D xsi:type="xsd:double"&gt;17.2563602100785&lt;/D&gt;&lt;D xsi:type="xsd:double"&gt;16.7361835054636&lt;/D&gt;&lt;D xsi:type="xsd:double"&gt;15.5155331885812&lt;/D&gt;&lt;D xsi:type="xsd:double"&gt;15.9244370465379&lt;/D&gt;&lt;D xsi:type="xsd:double"&gt;15.2900259409195&lt;/D&gt;&lt;D xsi:type="xsd:double"&gt;15.0594815402204&lt;/D&gt;&lt;D xsi:type="xsd:double"&gt;15.3281408252789&lt;/D&gt;&lt;D xsi:type="xsd:double"&gt;13.9323009279413&lt;/D&gt;&lt;D xsi:type="xsd:double"&gt;13.9008268632101&lt;/D&gt;&lt;D xsi:type="xsd:double"&gt;13.9664673898719&lt;/D&gt;&lt;D xsi:type="xsd:double"&gt;15.0407906918794&lt;/D&gt;&lt;D xsi:type="xsd:double"&gt;15.8583853877578&lt;/D&gt;&lt;D xsi:type="xsd:double"&gt;15.1623427240523&lt;/D&gt;&lt;D xsi:type="xsd:double"&gt;15.1049439138844&lt;/D&gt;&lt;D xsi:type="xsd:double"&gt;15.1253483193641&lt;/D&gt;&lt;D xsi:type="xsd:double"&gt;14.7907477957659&lt;/D&gt;&lt;D xsi:type="xsd:double"&gt;15.4750806785783&lt;/D&gt;&lt;D xsi:type="xsd:double"&gt;15.7792089326302&lt;/D&gt;&lt;D xsi:type="xsd:double"&gt;14.7144817014089&lt;/D&gt;&lt;D xsi:type="xsd:double"&gt;13.9348762437775&lt;/D&gt;&lt;D xsi:type="xsd:double"&gt;13.8568956305203&lt;/D&gt;&lt;D xsi:type="xsd:double"&gt;13.7842676764797&lt;/D&gt;&lt;D xsi:type="xsd:double"&gt;13.8150275313143&lt;/D&gt;&lt;D xsi:type="xsd:double"&gt;13.7289716553796&lt;/D&gt;&lt;D xsi:type="xsd:double"&gt;13.177142610557&lt;/D&gt;&lt;D xsi:type="xsd:double"&gt;8.47901641240829&lt;/D&gt;&lt;D xsi:type="xsd:double"&gt;11.4917876882462&lt;/D&gt;&lt;D xsi:type="xsd:double"&gt;13.0420103942478&lt;/D&gt;&lt;D xsi:type="xsd:double"&gt;15.7230832029972&lt;/D&gt;&lt;D xsi:type="xsd:double"&gt;15.2827107099947&lt;/D&gt;&lt;D xsi:type="xsd:double"&gt;16.2469966990174&lt;/D&gt;&lt;D xsi:type="xsd:double"&gt;15.8195396768951&lt;/D&gt;&lt;D xsi:type="xsd:double"&gt;15.8597232269095&lt;/D&gt;&lt;D xsi:type="xsd:double"&gt;17.7235980505549&lt;/D&gt;&lt;D xsi:type="xsd:double"&gt;16.9528066473462&lt;/D&gt;&lt;D xsi:type="xsd:double"&gt;16.7351687675774&lt;/D&gt;&lt;D xsi:type="xsd:double"&gt;15.7703353045874&lt;/D&gt;&lt;D xsi:type="xsd:double"&gt;14.9120870776805&lt;/D&gt;&lt;D xsi:type="xsd:double"&gt;14.7589401710955&lt;/D&gt;&lt;D xsi:type="xsd:double"&gt;14.6367139884899&lt;/D&gt;&lt;D xsi:type="xsd:double"&gt;16.2847616733544&lt;/D&gt;&lt;D xsi:type="xsd:double"&gt;15.3390495193578&lt;/D&gt;&lt;D xsi:type="xsd:double"&gt;15.3796008871332&lt;/D&gt;&lt;D xsi:type="xsd:double"&gt;15.7551736666231&lt;/D&gt;&lt;D xsi:type="xsd:double"&gt;16.7273009639791&lt;/D&gt;&lt;D xsi:type="xsd:double"&gt;16.082877520096&lt;/D&gt;&lt;D xsi:type="xsd:double"&gt;15.5604807924772&lt;/D&gt;&lt;D xsi:type="xsd:double"&gt;15.1715207161117&lt;/D&gt;&lt;D xsi:type="xsd:double"&gt;15.33059762436&lt;/D&gt;&lt;D xsi:type="xsd:double"&gt;14.4255732345078&lt;/D&gt;&lt;D xsi:type="xsd:double"&gt;14.2983925515443&lt;/D&gt;&lt;D xsi:type="xsd:double"&gt;12.9755871720693&lt;/D&gt;&lt;D xsi:type="xsd:double"&gt;12.873465898159&lt;/D&gt;&lt;D xsi:type="xsd:double"&gt;12.6445244695562&lt;/D&gt;&lt;D xsi:type="xsd:double"&gt;13.2891405610475&lt;/D&gt;&lt;D xsi:type="xsd:double"&gt;12.4367270923099&lt;/D&gt;&lt;D xsi:type="xsd:double"&gt;11.8462222685249&lt;/D&gt;&lt;D xsi:type="xsd:double"&gt;12.0327862229663&lt;/D&gt;&lt;D xsi:type="xsd:double"&gt;12.1335928819101&lt;/D&gt;&lt;D xsi:type="xsd:double"&gt;13.442127897645&lt;/D&gt;&lt;D xsi:type="xsd:double"&gt;12.6271238452424&lt;/D&gt;&lt;D xsi:type="xsd:double"&gt;11.5811052439431&lt;/D&gt;&lt;D xsi:type="xsd:double"&gt;11.3090165588176&lt;/D&gt;&lt;D xsi:type="xsd:double"&gt;11.3070832293204&lt;/D&gt;&lt;D xsi:type="xsd:double"&gt;10.228604085975&lt;/D&gt;&lt;D xsi:type="xsd:double"&gt;10.2144618595876&lt;/D&gt;&lt;D xsi:type="xsd:double"&gt;9.54042311925933&lt;/D&gt;&lt;D xsi:type="xsd:double"&gt;9.50388303383029&lt;/D&gt;&lt;D xsi:type="xsd:double"&gt;9.75576828747789&lt;/D&gt;&lt;D xsi:type="xsd:double"&gt;9.58614091244&lt;/D&gt;&lt;D xsi:type="xsd:double"&gt;9.41836830907597&lt;/D&gt;&lt;D xsi:type="xsd:double"&gt;9.37810662650893&lt;/D&gt;&lt;D xsi:type="xsd:double"&gt;9.8503361740693&lt;/D&gt;&lt;D xsi:type="xsd:double"&gt;10.0004031376539&lt;/D&gt;&lt;D xsi:type="xsd:double"&gt;8.80784117728049&lt;/D&gt;&lt;D xsi:type="xsd:double"&gt;8.8857602207273&lt;/D&gt;&lt;D xsi:type="xsd:double"&gt;8.74949369878009&lt;/D&gt;&lt;D xsi:type="xsd:double"&gt;9.47144542633203&lt;/D&gt;&lt;/FQL&gt;&lt;FQL&gt;&lt;Q&gt;PLATI-FDS^FG_PRICE_CHANGE(0,-1AY)&lt;/Q&gt;&lt;R&gt;1&lt;/R&gt;&lt;C&gt;1&lt;/C&gt;&lt;D xsi:type="xsd:double"&gt;1.01010101010102&lt;/D&gt;&lt;/FQL&gt;&lt;FQL&gt;&lt;Q&gt;W-FDS^FG_PRICE_CHANGE(0,-1AM)&lt;/Q&gt;&lt;R&gt;1&lt;/R&gt;&lt;C&gt;1&lt;/C&gt;&lt;D xsi:type="xsd:double"&gt;-6.74398625429553&lt;/D&gt;&lt;/FQL&gt;&lt;FQL&gt;&lt;Q&gt;TIOS-FDS^MAX(FG_PRICE(0,-5AY))&lt;/Q&gt;&lt;R&gt;1&lt;/R&gt;&lt;C&gt;1&lt;/C&gt;&lt;D xsi:type="xsd:double"&gt;219.77&lt;/D&gt;&lt;/FQL&gt;&lt;FQL&gt;&lt;Q&gt;VNM^FG_PRICE_MAVG(0,,,,30)&lt;/Q&gt;&lt;R&gt;1&lt;/R&gt;&lt;C&gt;1&lt;/C&gt;&lt;D xsi:type="xsd:double"&gt;12.466666&lt;/D&gt;&lt;/FQL&gt;&lt;FQL&gt;&lt;Q&gt;EWY^FG_PRICE(0)&lt;/Q&gt;&lt;R&gt;1&lt;/R&gt;&lt;C&gt;1&lt;/C&gt;&lt;D xsi:type="xsd:double"&gt;65.23&lt;/D&gt;&lt;/FQL&gt;&lt;FQL&gt;&lt;Q&gt;EPOL^FG_PRICE_MAVG(0,,,,30)&lt;/Q&gt;&lt;R&gt;1&lt;/R&gt;&lt;C&gt;1&lt;/C&gt;&lt;D xsi:type="xsd:double"&gt;24.319&lt;/D&gt;&lt;/FQL&gt;&lt;FQL&gt;&lt;Q&gt;KSA^P_PRICE(0)/P_PRICE_LOW_PR(0,,,,,,"PRICE","INTRA","52W")-1&lt;/Q&gt;&lt;R&gt;1&lt;/R&gt;&lt;C&gt;1&lt;/C&gt;&lt;D xsi:type="xsd:double"&gt;0.16100526&lt;/D&gt;&lt;/FQL&gt;&lt;FQL&gt;&lt;Q&gt;SET-BKK^PERCENT_CHANGE(FMA_EPS(+1,0,,,,"PORTAGG","MEAN"),FMA_EPS(+1,-3AM,,,,"PORTAGG","MEAN"))&lt;/Q&gt;&lt;R&gt;1&lt;/R&gt;&lt;C&gt;1&lt;/C&gt;&lt;D xsi:type="xsd:double"&gt;-2.1399764920132&lt;/D&gt;&lt;/FQL&gt;&lt;FQL&gt;&lt;Q&gt;MCHI^PERCENT_CHANGE(FMA_EPS(+1,0,,,,"PORTAGG","MEAN"),FMA_EPS(+1,-1AM,,,,"PORTAGG","MEAN"))&lt;/Q&gt;&lt;R&gt;1&lt;/R&gt;&lt;C&gt;1&lt;/C&gt;&lt;D xsi:type="xsd:double"&gt;-0.964030127852875&lt;/D&gt;&lt;/FQL&gt;&lt;FQL&gt;&lt;Q&gt;GREK^FMA_PCT_ABOVE_MAVG(200,0,,,,"PORTAGG")&lt;/Q&gt;&lt;R&gt;1&lt;/R&gt;&lt;C&gt;1&lt;/C&gt;&lt;D xsi:type="xsd:double"&gt;72.4137931034483&lt;/D&gt;&lt;/FQL&gt;&lt;FQL&gt;&lt;Q&gt;EWT^P_PRICE(0)/P_PRICE_LOW_PR(0,,,,,,"PRICE","INTRA","52W")-1&lt;/Q&gt;&lt;R&gt;1&lt;/R&gt;&lt;C&gt;1&lt;/C&gt;&lt;D xsi:type="xsd:double"&gt;0.26148367&lt;/D&gt;&lt;/FQL&gt;&lt;FQL&gt;&lt;Q&gt;EPHE^FG_TOTAL_RETURNC(0,-3AM)&lt;/Q&gt;&lt;R&gt;1&lt;/R&gt;&lt;C&gt;1&lt;/C&gt;&lt;D xsi:type="xsd:double"&gt;4.9165845&lt;/D&gt;&lt;/FQL&gt;&lt;FQL&gt;&lt;Q&gt;EWJ^PERCENT_CHANGE(FMA_EPS(+1,0,,,,"PORTAGG","MEAN"),FMA_EPS(+1,-3AM,,,,"PORTAGG","MEAN"))&lt;/Q&gt;&lt;R&gt;1&lt;/R&gt;&lt;C&gt;1&lt;/C&gt;&lt;D xsi:type="xsd:double"&gt;-2.88571168116345&lt;/D&gt;&lt;/FQL&gt;&lt;FQL&gt;&lt;Q&gt;URTH^SIZE(FG_CONSTITUENTS)&lt;/Q&gt;&lt;R&gt;1&lt;/R&gt;&lt;C&gt;1&lt;/C&gt;&lt;D xsi:type="xsd:long"&gt;1430&lt;/D&gt;&lt;/FQL&gt;&lt;FQL&gt;&lt;Q&gt;TUR^FMA_COS_DOWN("EPS","1M",+1,NOW,,,"PORTAGG","MEANR")&lt;/Q&gt;&lt;R&gt;1&lt;/R&gt;&lt;C&gt;1&lt;/C&gt;&lt;D xsi:type="xsd:double"&gt;16&lt;/D&gt;&lt;/FQL&gt;&lt;FQL&gt;&lt;Q&gt;REFCLMPR-FDS^PROPER_NAME(0,,,"SECURITY","NAME")&lt;/Q&gt;&lt;R&gt;1&lt;/R&gt;&lt;C&gt;1&lt;/C&gt;&lt;D xsi:type="xsd:string"&gt;Chile Monetary Policy Rate&lt;/D&gt;&lt;/FQL&gt;&lt;FQL&gt;&lt;Q&gt;EPOL^FG_COMPANY_NAME&lt;/Q&gt;&lt;R&gt;1&lt;/R&gt;&lt;C&gt;1&lt;/C&gt;&lt;D xsi:type="xsd:string"&gt;iShares MSCI Poland ETF&lt;/D&gt;&lt;/FQL&gt;&lt;FQL&gt;&lt;Q&gt;EPOL^FG_PRICE(0)&lt;/Q&gt;&lt;R&gt;1&lt;/R&gt;&lt;C&gt;1&lt;/C&gt;&lt;D xsi:type="xsd:double"&gt;24.39&lt;/D&gt;&lt;/FQL&gt;&lt;FQL&gt;&lt;Q&gt;SET-BKK^PERCENT_CHANGE(FMA_EPS(+1,0,,,,"PORTAGG","MEAN"),FMA_EPS(+1,-1AM,,,,"PORTAGG","MEAN"))&lt;/Q&gt;&lt;R&gt;1&lt;/R&gt;&lt;C&gt;1&lt;/C&gt;&lt;D xsi:type="xsd:double"&gt;-0.739174073145748&lt;/D&gt;&lt;/FQL&gt;&lt;FQL&gt;&lt;Q&gt;MCHI^FMA_PCT_ABOVE_MAVG(200,0,,,,"PORTAGG")&lt;/Q&gt;&lt;R&gt;1&lt;/R&gt;&lt;C&gt;1&lt;/C&gt;&lt;D xsi:type="xsd:double"&gt;44.3759630200308&lt;/D&gt;&lt;/FQL&gt;&lt;FQL&gt;&lt;Q&gt;KSA^P_PRICE(0)/P_PRICE_HIGH_PR(0,,,,,,"PRICE","INTRA","52W")&lt;/Q&gt;&lt;R&gt;1&lt;/R&gt;&lt;C&gt;1&lt;/C&gt;&lt;D xsi:type="xsd:double"&gt;0.93225414&lt;/D&gt;&lt;/FQL&gt;&lt;FQL&gt;&lt;Q&gt;MCHI^FG_COMPANY_NAME&lt;/Q&gt;&lt;R&gt;1&lt;/R&gt;&lt;C&gt;1&lt;/C&gt;&lt;D xsi:type="xsd:string"&gt;iShares MSCI China ETF&lt;/D&gt;&lt;/FQL&gt;&lt;FQL&gt;&lt;Q&gt;EZA^FG_TOTAL_RETURNC(0,-12AM)&lt;/Q&gt;&lt;R&gt;1&lt;/R&gt;&lt;C&gt;1&lt;/C&gt;&lt;D xsi:type="xsd:double"&gt;3.7487507&lt;/D&gt;&lt;/FQL&gt;&lt;FQL&gt;&lt;Q&gt;INDA^FMA_DIV_YLD(NTMA,NOW,NOW,M,"PORTAGG","MEANR")&lt;/Q&gt;&lt;R&gt;1&lt;/R&gt;&lt;C&gt;1&lt;/C&gt;&lt;D xsi:type="xsd:double"&gt;1.27007114341875&lt;/D&gt;&lt;/FQL&gt;&lt;FQL&gt;&lt;Q&gt;EWM^FG_COMPANY_NAME&lt;/Q&gt;&lt;R&gt;1&lt;/R&gt;&lt;C&gt;1&lt;/C&gt;&lt;D xsi:type="xsd:string"&gt;iShares MSCI Malaysia ETF&lt;/D&gt;&lt;/FQL&gt;&lt;FQL&gt;&lt;Q&gt;EPHE^FG_TOTAL_RETURNC(0,-1AM)&lt;/Q&gt;&lt;R&gt;1&lt;/R&gt;&lt;C&gt;1&lt;/C&gt;&lt;D xsi:type="xsd:double"&gt;6.586075&lt;/D&gt;&lt;/FQL&gt;&lt;FQL&gt;&lt;Q&gt;EIDO^FMA_DIV_YLD(NTMA,NOW,NOW,M,"PORTAGG","MEANR")&lt;/Q&gt;&lt;R&gt;1&lt;/R&gt;&lt;C&gt;1&lt;/C&gt;&lt;D xsi:type="xsd:double"&gt;4.48599499523553&lt;/D&gt;&lt;/FQL&gt;&lt;FQL&gt;&lt;Q&gt;EWT^FG_TOTAL_RETURNC(0,-6AM)&lt;/Q&gt;&lt;R&gt;1&lt;/R&gt;&lt;C&gt;1&lt;/C&gt;&lt;D xsi:type="xsd:double"&gt;20.253456&lt;/D&gt;&lt;/FQL&gt;&lt;FQL&gt;&lt;Q&gt;EWZ^FMA_EVAL_EBIT(LTMA,NOW,NOW,M,"PORTAGG","MEANR")&lt;/Q&gt;&lt;R&gt;1&lt;/R&gt;&lt;C&gt;1&lt;/C&gt;&lt;D xsi:type="xsd:double"&gt;6.66816958098087&lt;/D&gt;&lt;/FQL&gt;&lt;FQL&gt;&lt;Q&gt;UAE^FMA_PE(NTMA,0,,,"PORTAGG","MEANR")&lt;/Q&gt;&lt;R&gt;1&lt;/R&gt;&lt;C&gt;1&lt;/C&gt;&lt;D xsi:type="xsd:double"&gt;8.81354780959394&lt;/D&gt;&lt;/FQL&gt;&lt;FQL&gt;&lt;Q&gt;INDA^FMA_PE(NTMA,0,,,"PORTAGG","MEANR")&lt;/Q&gt;&lt;R&gt;1&lt;/R&gt;&lt;C&gt;1&lt;/C&gt;&lt;D xsi:type="xsd:double"&gt;24.1909581601823&lt;/D&gt;&lt;/FQL&gt;&lt;FQL&gt;&lt;Q&gt;QAT^FMA_EVAL_EBIT(LTMA,NOW,NOW,M,"PORTAGG","MEANR")&lt;/Q&gt;&lt;R&gt;1&lt;/R&gt;&lt;C&gt;1&lt;/C&gt;&lt;D xsi:type="xsd:double"&gt;15.1413897342729&lt;/D&gt;&lt;/FQL&gt;&lt;FQL&gt;&lt;Q&gt;ECH^FMA_PE(NTMA,0,,,"PORTAGG","MEANR")&lt;/Q&gt;&lt;R&gt;1&lt;/R&gt;&lt;C&gt;1&lt;/C&gt;&lt;D xsi:type="xsd:double"&gt;7.84139615104185&lt;/D&gt;&lt;/FQL&gt;&lt;FQL&gt;&lt;Q&gt;EWJ^FG_TOTAL_RETURNC(0,-6AM)&lt;/Q&gt;&lt;R&gt;1&lt;/R&gt;&lt;C&gt;1&lt;/C&gt;&lt;D xsi:type="xsd:double"&gt;6.954241&lt;/D&gt;&lt;/FQL&gt;&lt;FQL&gt;&lt;Q&gt;EWJ^PERCENT_CHANGE(FMA_EPS(+1,0,,,,"PORTAGG","MEAN"),FMA_EPS(+1,-1AM,,,,"PORTAGG","MEAN"))&lt;/Q&gt;&lt;R&gt;1&lt;/R&gt;&lt;C&gt;1&lt;/C&gt;&lt;D xsi:type="xsd:double"&gt;-0.119033261349642&lt;/D&gt;&lt;/FQL&gt;&lt;FQL&gt;&lt;Q&gt;URTH^FMA_COS_UP("EPS","1M",+1,NOW,,,"PORTAGG","MEANR")&lt;/Q&gt;&lt;R&gt;1&lt;/R&gt;&lt;C&gt;1&lt;/C&gt;&lt;D xsi:type="xsd:double"&gt;524&lt;/D&gt;&lt;/FQL&gt;&lt;FQL&gt;&lt;Q&gt;EWY^FMA_EVAL_EBITDA(NTMA,0,,,"PORTAGG","MEANR")&lt;/Q&gt;&lt;R&gt;1&lt;/R&gt;&lt;C&gt;1&lt;/C&gt;&lt;D xsi:type="xsd:double"&gt;6.20179436272305&lt;/D&gt;&lt;/FQL&gt;&lt;FQL&gt;&lt;Q&gt;EWW^FMA_DIV_YLD(NTMA,NOW,NOW,M,"PORTAGG","MEANR")&lt;/Q&gt;&lt;R&gt;1&lt;/R&gt;&lt;C&gt;1&lt;/C&gt;&lt;D xsi:type="xsd:double"&gt;4.57737692983282&lt;/D&gt;&lt;/FQL&gt;&lt;FQL&gt;&lt;Q&gt;EPHE^FG_FCF_YIELD_NTM(0)&lt;/Q&gt;&lt;R&gt;1&lt;/R&gt;&lt;C&gt;1&lt;/C&gt;&lt;D xsi:type="xsd:double"&gt;6.98302377286273&lt;/D&gt;&lt;/FQL&gt;&lt;FQL&gt;&lt;Q&gt;EWT^FMA_PE(NTMA,0,,,"PORTAGG","MEANR")&lt;/Q&gt;&lt;R&gt;1&lt;/R&gt;&lt;C&gt;1&lt;/C&gt;&lt;D xsi:type="xsd:double"&gt;18.2486520213211&lt;/D&gt;&lt;/FQL&gt;&lt;FQL&gt;&lt;Q&gt;EWM^JULIAN(FMA_DIV_YLD(NTMA,NOW,NOW,M,"PORTAGG","MEANR").DATES)&lt;/Q&gt;&lt;R&gt;1&lt;/R&gt;&lt;C&gt;1&lt;/C&gt;&lt;D xsi:type="xsd:long"&gt;45471&lt;/D&gt;&lt;/FQL&gt;&lt;FQL&gt;&lt;Q&gt;EPOL^FMA_EVAL_EBIT(LTMA,NOW,NOW,M,"PORTAGG","MEANR")&lt;/Q&gt;&lt;R&gt;1&lt;/R&gt;&lt;C&gt;1&lt;/C&gt;&lt;D xsi:type="xsd:double"&gt;8.44001882033532&lt;/D&gt;&lt;/FQL&gt;&lt;FQL&gt;&lt;Q&gt;REFMYON-FDS^FG_YIELD(NOW,,,0)&lt;/Q&gt;&lt;R&gt;1&lt;/R&gt;&lt;C&gt;1&lt;/C&gt;&lt;D xsi:type="xsd:double"&gt;3&lt;/D&gt;&lt;/FQL&gt;&lt;FQL&gt;&lt;Q&gt;EPOL^FMA_DIV_YLD(NTMA,NOW,NOW,M,"PORTAGG","MEANR")&lt;/Q&gt;&lt;R&gt;1&lt;/R&gt;&lt;C&gt;1&lt;/C&gt;&lt;D xsi:type="xsd:double"&gt;4.98022050642426&lt;/D&gt;&lt;/FQL&gt;&lt;FQL&gt;&lt;Q&gt;EIDO^JULIAN(FMA_DIV_YLD(NTMA,NOW,NOW,M,"PORTAGG","MEANR").DATES)&lt;/Q&gt;&lt;R&gt;1&lt;/R&gt;&lt;C&gt;1&lt;/C&gt;&lt;D xsi:type="xsd:long"&gt;45471&lt;/D&gt;&lt;/FQL&gt;&lt;FQL&gt;&lt;Q&gt;DUMMY^ECON_DATE(45373,,, 'MM/YYYY')&lt;/Q&gt;&lt;R&gt;1&lt;/R&gt;&lt;C&gt;1&lt;/C&gt;&lt;D xsi:type="xsd:string"&gt;03/2024&lt;/D&gt;&lt;/FQL&gt;&lt;FQL&gt;&lt;Q&gt;DUMMY^ECON_DATE(45465,,, 'MM/YYYY')&lt;/Q&gt;&lt;R&gt;1&lt;/R&gt;&lt;C&gt;1&lt;/C&gt;&lt;D xsi:type="xsd:string"&gt;06/2024&lt;/D&gt;&lt;/FQL&gt;&lt;FQL&gt;&lt;Q&gt;CC_SA^IMF_IFS_RCPI_Q(-1AM)&lt;/Q&gt;&lt;R&gt;1&lt;/R&gt;&lt;C&gt;1&lt;/C&gt;&lt;D xsi:type="xsd:double"&gt;1.6709557&lt;/D&gt;&lt;/FQL&gt;&lt;FQL&gt;&lt;Q&gt;CC_IN^IMF_IFS_RCPI_Q(-1AM)&lt;/Q&gt;&lt;R&gt;1&lt;/R&gt;&lt;C&gt;1&lt;/C&gt;&lt;D xsi:type="xsd:double"&gt;5.014141&lt;/D&gt;&lt;/FQL&gt;&lt;FQL&gt;&lt;Q&gt;CC_CN^IMF_IFS_RCPI_Q(-1AM)&lt;/Q&gt;&lt;R&gt;1&lt;/R&gt;&lt;C&gt;1&lt;/C&gt;&lt;D xsi:type="xsd:double"&gt;-0.032185&lt;/D&gt;&lt;/FQL&gt;&lt;FQL&gt;&lt;Q&gt;CC_QA^IMF_IFS_RCPI_Q(-1AM)&lt;/Q&gt;&lt;R&gt;0&lt;/R&gt;&lt;C&gt;0&lt;/C&gt;&lt;/FQL&gt;&lt;FQL&gt;&lt;Q&gt;CC_TH^IMF_IFS_RCPI_Q(-1AM)&lt;/Q&gt;&lt;R&gt;1&lt;/R&gt;&lt;C&gt;1&lt;/C&gt;&lt;D xsi:type="xsd:double"&gt;-0.78397644&lt;/D&gt;&lt;/FQL&gt;&lt;FQL&gt;&lt;Q&gt;CC_TR^IMF_IFS_RCPI_Q(-1AM)&lt;/Q&gt;&lt;R&gt;1&lt;/R&gt;&lt;C&gt;1&lt;/C&gt;&lt;D xsi:type="xsd:double"&gt;66.839935&lt;/D&gt;&lt;/FQL&gt;&lt;FQL&gt;&lt;Q&gt;CC_AE^IMF_IFS_RCPI_Q(-1AM)&lt;/Q&gt;&lt;R&gt;0&lt;/R&gt;&lt;C&gt;0&lt;/C&gt;&lt;/FQL&gt;&lt;FQL&gt;&lt;Q&gt;CC_BR^IMF_IFS_RCPI_Q(-1AM)&lt;/Q&gt;&lt;R&gt;1&lt;/R&gt;&lt;C&gt;1&lt;/C&gt;&lt;D xsi:type="xsd:double"&gt;4.3081307&lt;/D&gt;&lt;/FQL&gt;&lt;FQL&gt;&lt;Q&gt;CC_ZA^IMF_IFS_RCPI_Q(-1AM)&lt;/Q&gt;&lt;R&gt;1&lt;/R&gt;&lt;C&gt;1&lt;/C&gt;&lt;D xsi:type="xsd:double"&gt;5.4170475&lt;/D&gt;&lt;/FQL&gt;&lt;FQL&gt;&lt;Q&gt;CC_CL^IMF_IFS_RCPI_Q(-1AM)&lt;/Q&gt;&lt;R&gt;1&lt;/R&gt;&lt;C&gt;1&lt;/C&gt;&lt;D xsi:type="xsd:double"&gt;4.041295&lt;/D&gt;&lt;/FQL&gt;&lt;FQL&gt;&lt;Q&gt;CC_ID^IMF_IFS_RCPI_Q(-1AM)&lt;/Q&gt;&lt;R&gt;0&lt;/R&gt;&lt;C&gt;0&lt;/C&gt;&lt;/FQL&gt;&lt;FQL&gt;&lt;Q&gt;CC_PH^IMF_IFS_RCPI_Q(-1AM)&lt;/Q&gt;&lt;R&gt;1&lt;/R&gt;&lt;C&gt;1&lt;/C&gt;&lt;D xsi:type="xsd:double"&gt;3.2976058&lt;/D&gt;&lt;/FQL&gt;&lt;FQL&gt;&lt;Q&gt;CC_PL^IMF_IFS_RCPI_Q(-1AM)&lt;/Q&gt;&lt;R&gt;1&lt;/R&gt;&lt;C&gt;1&lt;/C&gt;&lt;D xsi:type="xsd:double"&gt;3.0462575&lt;/D&gt;&lt;/FQL&gt;&lt;FQL&gt;&lt;Q&gt;CC_PE^IMF_IFS_RCPI_Q(-1AM)&lt;/Q&gt;&lt;R&gt;1&lt;/R&gt;&lt;C&gt;1&lt;/C&gt;&lt;D xsi:type="xsd:double"&gt;2.8496776&lt;/D&gt;&lt;/FQL&gt;&lt;FQL&gt;&lt;Q&gt;CC_MY^IMF_IFS_RCPI_Q(-1AM)&lt;/Q&gt;&lt;R&gt;1&lt;/R&gt;&lt;C&gt;1&lt;/C&gt;&lt;D xsi:type="xsd:double"&gt;1.6700923&lt;/D&gt;&lt;/FQL&gt;&lt;FQL&gt;&lt;Q&gt;CC_TW^IMF_IFS_RCPI_Q(-1AM)&lt;/Q&gt;&lt;R&gt;0&lt;/R&gt;&lt;C&gt;0&lt;/C&gt;&lt;/FQL&gt;&lt;FQL&gt;&lt;Q&gt;CC_MX^IMF_IFS_RCPI_Q(-1AM)&lt;/Q&gt;&lt;R&gt;1&lt;/R&gt;&lt;C&gt;1&lt;/C&gt;&lt;D xsi:type="xsd:double"&gt;4.567828&lt;/D&gt;&lt;/FQL&gt;&lt;FQL&gt;&lt;Q&gt;CC_US^IMF_IFS_RCPI_Q(-1AM)&lt;/Q&gt;&lt;R&gt;1&lt;/R&gt;&lt;C&gt;1&lt;/C&gt;&lt;D xsi:type="xsd:double"&gt;3.241016&lt;/D&gt;&lt;/FQL&gt;&lt;FQL&gt;&lt;Q&gt;DUMMY^ECON_EXPR_DATA('FDS_ECON[NTCPMIMFGSA@CN]',06/2024,,Q)&lt;/Q&gt;&lt;R&gt;1&lt;/R&gt;&lt;C&gt;1&lt;/C&gt;&lt;D xsi:type="xsd:double"&gt;51.64454&lt;/D&gt;&lt;/FQL&gt;&lt;FQL&gt;&lt;Q&gt;DUMMY^ECON_EXPR_DATA('FDS_ECON[NTCPMIMFGSA@CN]',03/2024,,Q)&lt;/Q&gt;&lt;R&gt;1&lt;/R&gt;&lt;C&gt;1&lt;/C&gt;&lt;D xsi:type="xsd:double"&gt;50.938282&lt;/D&gt;&lt;/FQL&gt;&lt;FQL&gt;&lt;Q&gt;DUMMY^ECON_EXPR_DATA('FDS_ECON[NTCPMIMFGSA@CL]',06/2024,,Q)&lt;/Q&gt;&lt;R&gt;0&lt;/R&gt;&lt;C&gt;0&lt;/C&gt;&lt;/FQL&gt;&lt;FQL&gt;&lt;Q&gt;DUMMY^ECON_EXPR_DATA('FDS_ECON[NTCPMIMFGSA@CL]',03/2024,,Q)&lt;/Q&gt;&lt;R&gt;0&lt;/R&gt;&lt;C&gt;0&lt;/C&gt;&lt;/FQL&gt;&lt;FQL&gt;&lt;Q&gt;DUMMY^ECON_EXPR_DATA('FDS_ECON[NTCPMIMFGSA@ID]',06/2024,,Q)&lt;/Q&gt;&lt;R&gt;1&lt;/R&gt;&lt;C&gt;1&lt;/C&gt;&lt;D xsi:type="xsd:double"&gt;51.87755&lt;/D&gt;&lt;/FQL&gt;&lt;FQL&gt;&lt;Q&gt;DUMMY^ECON_EXPR_DATA('FDS_ECON[NTCPMIMFGSA@ID]',03/2024,,Q)&lt;/Q&gt;&lt;R&gt;1&lt;/R&gt;&lt;C&gt;1&lt;/C&gt;&lt;D xsi:type="xsd:double"&gt;53.247562&lt;/D&gt;&lt;/FQL&gt;&lt;FQL&gt;&lt;Q&gt;DUMMY^ECON_EXPR_DATA('FDS_ECON[NTCPMIPHMANHE]',06/2024,,Q)&lt;/Q&gt;&lt;R&gt;1&lt;/R&gt;&lt;C&gt;1&lt;/C&gt;&lt;D xsi:type="xsd:double"&gt;51.78043&lt;/D&gt;&lt;/FQL&gt;&lt;FQL&gt;&lt;Q&gt;DUMMY^ECON_EXPR_DATA('FDS_ECON[NTCPMIPHMANHE]',03/2024,,Q)&lt;/Q&gt;&lt;R&gt;1&lt;/R&gt;&lt;C&gt;1&lt;/C&gt;&lt;D xsi:type="xsd:double"&gt;50.931423&lt;/D&gt;&lt;/FQL&gt;&lt;FQL&gt;&lt;Q&gt;DUMMY^ECON_EXPR_DATA('FDS_ECON[NTCPMIMFGSA@PL]',06/2024,,Q)&lt;/Q&gt;&lt;R&gt;1&lt;/R&gt;&lt;C&gt;1&lt;/C&gt;&lt;D xsi:type="xsd:double"&gt;45.313137&lt;/D&gt;&lt;/FQL&gt;&lt;FQL&gt;&lt;Q&gt;DUMMY^ECON_EXPR_DATA('FDS_ECON[NTCPMIMFGSA@PL]',03/2024,,Q)&lt;/Q&gt;&lt;R&gt;1&lt;/R&gt;&lt;C&gt;1&lt;/C&gt;&lt;D xsi:type="xsd:double"&gt;47.64948&lt;/D&gt;&lt;/FQL&gt;&lt;FQL&gt;&lt;Q&gt;DUMMY^ECON_EXPR_DATA('FDS_ECON[NTCPMIMFGSA@PE]',06/2024,,Q)&lt;/Q&gt;&lt;R&gt;0&lt;/R&gt;&lt;C&gt;0&lt;/C&gt;&lt;/FQL&gt;&lt;FQL&gt;&lt;Q&gt;DUMMY^ECON_EXPR_DATA('FDS_ECON[NTCPMIMFGSA@PE]',03/2024,,Q)&lt;/Q&gt;&lt;R&gt;0&lt;/R&gt;&lt;C&gt;0&lt;/C&gt;&lt;/FQL&gt;&lt;FQL&gt;&lt;Q&gt;DUMMY^ECON_EXPR_DATA('FDS_ECON[PMIMYMANHE]',06/2024,,Q)&lt;/Q&gt;&lt;R&gt;1&lt;/R&gt;&lt;C&gt;1&lt;/C&gt;&lt;D xsi:type="xsd:double"&gt;49.6697&lt;/D&gt;&lt;/FQL&gt;&lt;FQL&gt;&lt;Q&gt;DUMMY^ECON_EXPR_DATA('FDS_ECON[PMIMYMANHE]',03/2024,,Q)&lt;/Q&gt;&lt;R&gt;1&lt;/R&gt;&lt;C&gt;1&lt;/C&gt;&lt;D xsi:type="xsd:double"&gt;48.94971&lt;/D&gt;&lt;/FQL&gt;&lt;FQL&gt;&lt;Q&gt;DUMMY^ECON_EXPR_DATA('FDS_ECON[NTCPMIMFGSA@TW]',06/2024,,Q)&lt;/Q&gt;&lt;R&gt;1&lt;/R&gt;&lt;C&gt;1&lt;/C&gt;&lt;D xsi:type="xsd:double"&gt;51.410824&lt;/D&gt;&lt;/FQL&gt;&lt;FQL&gt;&lt;Q&gt;DUMMY^ECON_EXPR_DATA('FDS_ECON[NTCPMIMFGSA@TW]',03/2024,,Q)&lt;/Q&gt;&lt;R&gt;1&lt;/R&gt;&lt;C&gt;1&lt;/C&gt;&lt;D xsi:type="xsd:double"&gt;48.895138&lt;/D&gt;&lt;/FQL&gt;&lt;FQL&gt;&lt;Q&gt;DUMMY^ECON_EXPR_DATA('FDS_ECON[NTCPMIMFGSA@MX]',06/2024,,Q)&lt;/Q&gt;&lt;R&gt;1&lt;/R&gt;&lt;C&gt;1&lt;/C&gt;&lt;D xsi:type="xsd:double"&gt;51.090343&lt;/D&gt;&lt;/FQL&gt;&lt;FQL&gt;&lt;Q&gt;DUMMY^ECON_EXPR_DATA('FDS_ECON[NTCPMIMFGSA@MX]',03/2024,,Q)&lt;/Q&gt;&lt;R&gt;1&lt;/R&gt;&lt;C&gt;1&lt;/C&gt;&lt;D xsi:type="xsd:double"&gt;51.565502&lt;/D&gt;&lt;/FQL&gt;&lt;FQL&gt;&lt;Q&gt;DUMMY^ECON_EXPR_DATA('FDS_ECON[NTCPMIMFGSA@KR]',06/2024,,Q)&lt;/Q&gt;&lt;R&gt;1&lt;/R&gt;&lt;C&gt;1&lt;/C&gt;&lt;D xsi:type="xsd:double"&gt;51.02443&lt;/D&gt;&lt;/FQL&gt;&lt;FQL&gt;&lt;Q&gt;DUMMY^ECON_EXPR_DATA('FDS_ECON[NTCPMIMFGSA@KR]',03/2024,,Q)&lt;/Q&gt;&lt;R&gt;1&lt;/R&gt;&lt;C&gt;1&lt;/C&gt;&lt;D xsi:type="xsd:double"&gt;50.57622&lt;/D&gt;&lt;/FQL&gt;&lt;FQL&gt;&lt;Q&gt;DUMMY^ECON_EXPR_DATA('FDS_ECON[NTCPMIMFGSA@BR]',06/2024,,Q)&lt;/Q&gt;&lt;R&gt;1&lt;/R&gt;&lt;C&gt;1&lt;/C&gt;&lt;D xsi:type="xsd:double"&gt;53.488384&lt;/D&gt;&lt;/FQL&gt;&lt;FQL&gt;&lt;Q&gt;DUMMY^ECON_EXPR_DATA('FDS_ECON[NTCPMIMFGSA@BR]',03/2024,,Q)&lt;/Q&gt;&lt;R&gt;1&lt;/R&gt;&lt;C&gt;1&lt;/C&gt;&lt;D xsi:type="xsd:double"&gt;53.509575&lt;/D&gt;&lt;/FQL&gt;&lt;FQL&gt;&lt;Q&gt;DUMMY^ECON_EXPR_DATA('FDS_ECON[PMIMFGSA@ZA]',06/2024,,Q)&lt;/Q&gt;&lt;R&gt;1&lt;/R&gt;&lt;C&gt;1&lt;/C&gt;&lt;D xsi:type="xsd:double"&gt;49.992886&lt;/D&gt;&lt;/FQL&gt;&lt;FQL&gt;&lt;Q&gt;DUMMY^ECON_EXPR_DATA('FDS_ECON[PMIMFGSA@ZA]',03/2024,,Q)&lt;/Q&gt;&lt;R&gt;1&lt;/R&gt;&lt;C&gt;1&lt;/C&gt;&lt;D xsi:type="xsd:double"&gt;49.458923&lt;/D&gt;&lt;/FQL&gt;&lt;FQL&gt;&lt;Q&gt;DUMMY^ECON_EXPR_DATA('FDS_ECON[NTCPMIMFGSA@GR]',06/2024,,Q)&lt;/Q&gt;&lt;R&gt;1&lt;/R&gt;&lt;C&gt;1&lt;/C&gt;&lt;D xsi:type="xsd:double"&gt;54.69078&lt;/D&gt;&lt;/FQL&gt;&lt;FQL&gt;&lt;Q&gt;DUMMY^ECON_EXPR_DATA('FDS_ECON[NTCPMIMFGSA@GR]',03/2024,,Q)&lt;/Q&gt;&lt;R&gt;1&lt;/R&gt;&lt;C&gt;1&lt;/C&gt;&lt;D xsi:type="xsd:double"&gt;55.77546&lt;/D&gt;&lt;/FQL&gt;&lt;FQL&gt;&lt;Q&gt;DUMMY^ECON_EXPR_DATA('FDS_ECON[NTCPMIMFGSA@IN]',06/2024,,Q)&lt;/Q&gt;&lt;R&gt;1&lt;/R&gt;&lt;C&gt;1&lt;/C&gt;&lt;D xsi:type="xsd:double"&gt;58.243446&lt;/D&gt;&lt;/FQL&gt;&lt;FQL&gt;&lt;Q&gt;DUMMY^ECON_EXPR_DATA('FDS_ECON[NTCPMIMFGSA@IN]',03/2024,,Q)&lt;/Q&gt;&lt;R&gt;1&lt;/R&gt;&lt;C&gt;1&lt;/C&gt;&lt;D xsi:type="xsd:double"&gt;57.516636&lt;/D&gt;&lt;/FQL&gt;&lt;FQL&gt;&lt;Q&gt;DUMMY^ECON_EXPR_DATA('FDS_ECON[PMIQAWHEHE]',06/2024,,Q)&lt;/Q&gt;&lt;R&gt;1&lt;/R&gt;&lt;C&gt;1&lt;/C&gt;&lt;D xsi:type="xsd:double"&gt;53.838383&lt;/D&gt;&lt;/FQL&gt;&lt;FQL&gt;&lt;Q&gt;DUMMY^ECON_EXPR_DATA('FDS_ECON[PMIQAWHEHE]',03/2024,,Q)&lt;/Q&gt;&lt;R&gt;1&lt;/R&gt;&lt;C&gt;1&lt;/C&gt;&lt;D xsi:type="xsd:double"&gt;50.683044&lt;/D&gt;&lt;/FQL&gt;&lt;FQL&gt;&lt;Q&gt;DUMMY^ECON_EXPR_DATA('FDS_ECON[NTCPMITHMANHE]',06/2024,,Q)&lt;/Q&gt;&lt;R&gt;1&lt;/R&gt;&lt;C&gt;1&lt;/C&gt;&lt;D xsi:type="xsd:double"&gt;50.221676&lt;/D&gt;&lt;/FQL&gt;&lt;FQL&gt;&lt;Q&gt;DUMMY^ECON_EXPR_DATA('FDS_ECON[NTCPMITHMANHE]',03/2024,,Q)&lt;/Q&gt;&lt;R&gt;1&lt;/R&gt;&lt;C&gt;1&lt;/C&gt;&lt;D xsi:type="xsd:double"&gt;47.04389&lt;/D&gt;&lt;/FQL&gt;&lt;FQL&gt;&lt;Q&gt;DUMMY^ECON_EXPR_DATA('FDS_ECON[NTCPMIMFGSA@TR]',06/2024,,Q)&lt;/Q&gt;&lt;R&gt;1&lt;/R&gt;&lt;C&gt;1&lt;/C&gt;&lt;D xsi:type="xsd:double"&gt;48.55242&lt;/D&gt;&lt;/FQL&gt;&lt;FQL&gt;&lt;Q&gt;DUMMY^ECON_EXPR_DATA('FDS_ECON[NTCPMIMFGSA@TR]',03/2024,,Q)&lt;/Q&gt;&lt;R&gt;1&lt;/R&gt;&lt;C&gt;1&lt;/C&gt;&lt;D xsi:type="xsd:double"&gt;49.822453&lt;/D&gt;&lt;/FQL&gt;&lt;FQL&gt;&lt;Q&gt;DUMMY^ECON_EXPR_DATA('FDS_ECON[NTCPMIMFGSA@AE]',06/2024,,Q)&lt;/Q&gt;&lt;R&gt;0&lt;/R&gt;&lt;C&gt;0&lt;/C&gt;&lt;/FQL&gt;&lt;FQL&gt;&lt;Q&gt;DUMMY^ECON_EXPR_DATA('FDS_ECON[NTCPMIMFGSA@AE]',03/2024,,Q)&lt;/Q&gt;&lt;R&gt;0&lt;/R&gt;&lt;C&gt;0&lt;/C&gt;&lt;/FQL&gt;&lt;FQL&gt;&lt;Q&gt;DUMMY^ECON_EXPR_DATA('FDS_ECON[NTCPMIMFGSA@VN]',06/2024,,Q)&lt;/Q&gt;&lt;R&gt;1&lt;/R&gt;&lt;C&gt;1&lt;/C&gt;&lt;D xsi:type="xsd:double"&gt;51.776978&lt;/D&gt;&lt;/FQL&gt;&lt;FQL&gt;&lt;Q&gt;DUMMY^ECON_EXPR_DATA('FDS_ECON[NTCPMIMFGSA@VN]',03/2024,,Q)&lt;/Q&gt;&lt;R&gt;1&lt;/R&gt;&lt;C&gt;1&lt;/C&gt;&lt;D xsi:type="xsd:double"&gt;50.18627&lt;/D&gt;&lt;/FQL&gt;&lt;FQL&gt;&lt;Q&gt;DUMMY^ECON_EXPR_DATA('FDS_ECON[NTCPMIINDEXSA@SA]',06/2024,,Q)&lt;/Q&gt;&lt;R&gt;1&lt;/R&gt;&lt;C&gt;1&lt;/C&gt;&lt;D xsi:type="xsd:double"&gt;56.14742&lt;/D&gt;&lt;/FQL&gt;&lt;FQL&gt;&lt;Q&gt;DUMMY^ECON_EXPR_DATA('FDS_ECON[NTCPMIINDEXSA@SA]',03/2024,,Q)&lt;/Q&gt;&lt;R&gt;1&lt;/R&gt;&lt;C&gt;1&lt;/C&gt;&lt;D xsi:type="xsd:double"&gt;56.53707&lt;/D&gt;&lt;/FQL&gt;&lt;FQL&gt;&lt;Q&gt;DUMMY^ECON_EXPR_DATA('FDS_ECON[PMIDMMANHE]',06/2024,,Q)&lt;/Q&gt;&lt;R&gt;1&lt;/R&gt;&lt;C&gt;1&lt;/C&gt;&lt;D xsi:type="xsd:double"&gt;49.41843&lt;/D&gt;&lt;/FQL&gt;&lt;FQL&gt;&lt;Q&gt;DUMMY^ECON_EXPR_DATA('FDS_ECON[PMIDMMANHE]',03/2024,,Q)&lt;/Q&gt;&lt;R&gt;1&lt;/R&gt;&lt;C&gt;1&lt;/C&gt;&lt;D xsi:type="xsd:double"&gt;49.135437&lt;/D&gt;&lt;/FQL&gt;&lt;FQL&gt;&lt;Q&gt;DUMMY^ECON_EXPR_DATA('FDS_ECON[NTCPMIMFGSA@EME]',06/2024,,Q)&lt;/Q&gt;&lt;R&gt;1&lt;/R&gt;&lt;C&gt;1&lt;/C&gt;&lt;D xsi:type="xsd:double"&gt;52.017086&lt;/D&gt;&lt;/FQL&gt;&lt;FQL&gt;&lt;Q&gt;DUMMY^ECON_EXPR_DATA('FDS_ECON[NTCPMIMFGSA@EME]',03/2024,,Q)&lt;/Q&gt;&lt;R&gt;1&lt;/R&gt;&lt;C&gt;1&lt;/C&gt;&lt;D xsi:type="xsd:double"&gt;51.512165&lt;/D&gt;&lt;/FQL&gt;&lt;FQL&gt;&lt;Q&gt;CC_TW^IMF_IFS_RCPI_Q(-2AM)&lt;/Q&gt;&lt;R&gt;0&lt;/R&gt;&lt;C&gt;0&lt;/C&gt;&lt;/FQL&gt;&lt;FQL&gt;&lt;Q&gt;CC_ID^IMF_IFS_RCPI_Q(-2AM)&lt;/Q&gt;&lt;R&gt;0&lt;/R&gt;&lt;C&gt;0&lt;/C&gt;&lt;/FQL&gt;&lt;FQL&gt;&lt;Q&gt;CC_AE^IMF_IFS_RCPI_Q(-2AM)&lt;/Q&gt;&lt;R&gt;0&lt;/R&gt;&lt;C&gt;0&lt;/C&gt;&lt;/FQL&gt;&lt;FQL&gt;&lt;Q&gt;CC_QA^IMF_IFS_RCPI_Q(-2AM)&lt;/Q&gt;&lt;R&gt;0&lt;/R&gt;&lt;C&gt;0&lt;/C&gt;&lt;/FQL&gt;&lt;FQL&gt;&lt;Q&gt;CC_QA^IMF_IFS_RCPI_Q(-3AM)&lt;/Q&gt;&lt;R&gt;0&lt;/R&gt;&lt;C&gt;0&lt;/C&gt;&lt;/FQL&gt;&lt;FQL&gt;&lt;Q&gt;CC_AE^IMF_IFS_RCPI_Q(-3AM)&lt;/Q&gt;&lt;R&gt;0&lt;/R&gt;&lt;C&gt;0&lt;/C&gt;&lt;/FQL&gt;&lt;FQL&gt;&lt;Q&gt;CC_ID^IMF_IFS_RCPI_Q(-3AM)&lt;/Q&gt;&lt;R&gt;0&lt;/R&gt;&lt;C&gt;0&lt;/C&gt;&lt;/FQL&gt;&lt;FQL&gt;&lt;Q&gt;CC_TW^IMF_IFS_RCPI_Q(-3AM)&lt;/Q&gt;&lt;R&gt;0&lt;/R&gt;&lt;C&gt;0&lt;/C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tc={0195B492-FC6C-4B70-985C-FD0A6858133E}</author>
  </authors>
  <commentList>
    <comment ref="P3" authorId="0" shapeId="0" xr:uid="{00000000-0006-0000-0400-000001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High is good 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<sst xmlns="http://schemas.openxmlformats.org/spreadsheetml/2006/main" count="2612" uniqueCount="922">
  <si>
    <t>ETF name</t>
  </si>
  <si>
    <t>SPY</t>
  </si>
  <si>
    <t>PE trailing</t>
  </si>
  <si>
    <t>PE forward</t>
  </si>
  <si>
    <t>3 month return</t>
  </si>
  <si>
    <t>6 month return</t>
  </si>
  <si>
    <t>VWO</t>
  </si>
  <si>
    <t>EWW</t>
  </si>
  <si>
    <t>FCF yield</t>
  </si>
  <si>
    <t>Price / 52 week high</t>
  </si>
  <si>
    <t>Liquidity</t>
  </si>
  <si>
    <t>EWG</t>
  </si>
  <si>
    <t>EWZ</t>
  </si>
  <si>
    <t>This sheet contains FactSet XML data for use with this workbook's =FDS codes.  Modifying the worksheet's contents may damage the workbook's =FDS functionality.</t>
  </si>
  <si>
    <t>TRYUS10Y-FDS</t>
  </si>
  <si>
    <t>TRYMX10Y-FDS</t>
  </si>
  <si>
    <t>Number of companies with downward revisions (1 month)</t>
  </si>
  <si>
    <t>TRYCN10Y-FDS</t>
  </si>
  <si>
    <t>TRYIN10Y-FDS</t>
  </si>
  <si>
    <t>TRYDE10Y-FDS</t>
  </si>
  <si>
    <t>TRYBR10Y-FDS</t>
  </si>
  <si>
    <t>EWY</t>
  </si>
  <si>
    <t>EZA</t>
  </si>
  <si>
    <t>EPOL</t>
  </si>
  <si>
    <t>EWT</t>
  </si>
  <si>
    <t>TUR</t>
  </si>
  <si>
    <t>MCHI</t>
  </si>
  <si>
    <t>ECH</t>
  </si>
  <si>
    <t>GREK</t>
  </si>
  <si>
    <t>EPU</t>
  </si>
  <si>
    <t>EPHE</t>
  </si>
  <si>
    <t>QAT</t>
  </si>
  <si>
    <t>INDA</t>
  </si>
  <si>
    <t>EWM</t>
  </si>
  <si>
    <t>UAE</t>
  </si>
  <si>
    <t>EIDO</t>
  </si>
  <si>
    <t>KSA</t>
  </si>
  <si>
    <t>VNM</t>
  </si>
  <si>
    <t>iShares MSCI South Korea ETF</t>
  </si>
  <si>
    <t>iShares MSCI Germany ETF</t>
  </si>
  <si>
    <t>iShares MSCI Taiwan ETF</t>
  </si>
  <si>
    <t>iShares MSCI China ETF</t>
  </si>
  <si>
    <t>EWL</t>
  </si>
  <si>
    <t>iShares MSCI Switzerland ETF</t>
  </si>
  <si>
    <t>EWA</t>
  </si>
  <si>
    <t>iShares MSCI Australia ETF</t>
  </si>
  <si>
    <t>EWJ</t>
  </si>
  <si>
    <t>iShares MSCI Japan ETF</t>
  </si>
  <si>
    <t>EWU</t>
  </si>
  <si>
    <t>EWC</t>
  </si>
  <si>
    <t>iShares MSCI Canada ETF</t>
  </si>
  <si>
    <t>QQQ</t>
  </si>
  <si>
    <t>iShares Trust - iShares MSCI India ETF</t>
  </si>
  <si>
    <t>iShares MSCI Mexico ETF</t>
  </si>
  <si>
    <t>iShares MSCI Brazil ETF</t>
  </si>
  <si>
    <t>Momnetum</t>
  </si>
  <si>
    <t xml:space="preserve"> 3month</t>
  </si>
  <si>
    <t>6 month</t>
  </si>
  <si>
    <t>Contra momentum</t>
  </si>
  <si>
    <t>12 month percentile</t>
  </si>
  <si>
    <t>Value</t>
  </si>
  <si>
    <t>Price</t>
  </si>
  <si>
    <t>Upgardes</t>
  </si>
  <si>
    <t>1 month%</t>
  </si>
  <si>
    <t>3 month%</t>
  </si>
  <si>
    <t>% of times Index drwdown more than</t>
  </si>
  <si>
    <t xml:space="preserve">Number of companies </t>
  </si>
  <si>
    <t>EV/EBITDA</t>
  </si>
  <si>
    <t>% of Fund/Index above moving average</t>
  </si>
  <si>
    <t>Downgrades</t>
  </si>
  <si>
    <t>Breadth</t>
  </si>
  <si>
    <t>6 month rank</t>
  </si>
  <si>
    <t>12 month return</t>
  </si>
  <si>
    <t>% of index above 200D</t>
  </si>
  <si>
    <t>Total Momentum</t>
  </si>
  <si>
    <t>Index breadth</t>
  </si>
  <si>
    <t>upgardes %</t>
  </si>
  <si>
    <t>U/D</t>
  </si>
  <si>
    <t>Revison</t>
  </si>
  <si>
    <t>Upgrades</t>
  </si>
  <si>
    <t>Revsion</t>
  </si>
  <si>
    <t>% of model</t>
  </si>
  <si>
    <t>weights</t>
  </si>
  <si>
    <t>Score</t>
  </si>
  <si>
    <t>Diffusiion</t>
  </si>
  <si>
    <t>Worst</t>
  </si>
  <si>
    <t>Count</t>
  </si>
  <si>
    <t>times darwdown</t>
  </si>
  <si>
    <t>%</t>
  </si>
  <si>
    <t xml:space="preserve">Freq </t>
  </si>
  <si>
    <t>Growth</t>
  </si>
  <si>
    <t>Min</t>
  </si>
  <si>
    <t>Max</t>
  </si>
  <si>
    <t>Current percentile</t>
  </si>
  <si>
    <t>12 month return -prentile</t>
  </si>
  <si>
    <t>1  month return percentile</t>
  </si>
  <si>
    <t>Country Code</t>
  </si>
  <si>
    <t>10Y Treasury</t>
  </si>
  <si>
    <t>Yield Name</t>
  </si>
  <si>
    <t>ZA</t>
  </si>
  <si>
    <t>PL</t>
  </si>
  <si>
    <t>KR</t>
  </si>
  <si>
    <t>DE</t>
  </si>
  <si>
    <t>TW</t>
  </si>
  <si>
    <t>CN</t>
  </si>
  <si>
    <t>TR</t>
  </si>
  <si>
    <t>FR</t>
  </si>
  <si>
    <t>CL</t>
  </si>
  <si>
    <t>TIPSCL10Y-FDS</t>
  </si>
  <si>
    <t>EU</t>
  </si>
  <si>
    <t>CH</t>
  </si>
  <si>
    <t>GR</t>
  </si>
  <si>
    <t>PE</t>
  </si>
  <si>
    <t>AU</t>
  </si>
  <si>
    <t>JP</t>
  </si>
  <si>
    <t>GB</t>
  </si>
  <si>
    <t>CA</t>
  </si>
  <si>
    <t>PH</t>
  </si>
  <si>
    <t>IN</t>
  </si>
  <si>
    <t>US</t>
  </si>
  <si>
    <t>QA</t>
  </si>
  <si>
    <t>MX</t>
  </si>
  <si>
    <t>MY</t>
  </si>
  <si>
    <t>AE</t>
  </si>
  <si>
    <t>ID</t>
  </si>
  <si>
    <t>SA</t>
  </si>
  <si>
    <t>VN</t>
  </si>
  <si>
    <t>BR</t>
  </si>
  <si>
    <t>TRYZA10Y-FDS</t>
  </si>
  <si>
    <t>TRYPL10Y-FDS</t>
  </si>
  <si>
    <t>TRYKR10Y-FDS</t>
  </si>
  <si>
    <t>TRYTW10Y-FDS</t>
  </si>
  <si>
    <t>TRYTR7Y-FDS</t>
  </si>
  <si>
    <t>TRYFR10Y-FDS</t>
  </si>
  <si>
    <t>TRYEU10Y-FDS</t>
  </si>
  <si>
    <t>TRYCH10Y-FDS</t>
  </si>
  <si>
    <t>TRYGR10Y-FDS</t>
  </si>
  <si>
    <t>TRYPE10Y-FDS</t>
  </si>
  <si>
    <t>TRYAU10Y-FDS</t>
  </si>
  <si>
    <t>TRYJP10Y-FDS</t>
  </si>
  <si>
    <t>TRY10Y-FDS</t>
  </si>
  <si>
    <t>TRYGB10Y-FDS</t>
  </si>
  <si>
    <t>TRYCA10Y-FDS</t>
  </si>
  <si>
    <t>TRYPH10Y-FDS</t>
  </si>
  <si>
    <t>TRYQA10Y-FDS</t>
  </si>
  <si>
    <t>TRYMY10Y-FDS</t>
  </si>
  <si>
    <t>TRYAE10Y-FDS</t>
  </si>
  <si>
    <t>TRYID10Y-FDS</t>
  </si>
  <si>
    <t>TRYSA10Y-FDS</t>
  </si>
  <si>
    <t>TRYVN10Y-FDS</t>
  </si>
  <si>
    <t/>
  </si>
  <si>
    <t>POLICY RATE</t>
  </si>
  <si>
    <t>Country ISO</t>
  </si>
  <si>
    <t>Econ Country ID</t>
  </si>
  <si>
    <t>Rate Name</t>
  </si>
  <si>
    <t>Symbol</t>
  </si>
  <si>
    <t>G7</t>
  </si>
  <si>
    <t>CC_CA</t>
  </si>
  <si>
    <t>Canada Target Rate</t>
  </si>
  <si>
    <t>REFCATARG-FDS</t>
  </si>
  <si>
    <t>EUZ</t>
  </si>
  <si>
    <t>CC_EUZ</t>
  </si>
  <si>
    <t>Eurozone Main Refinancing Operations Minimum Bid Rate</t>
  </si>
  <si>
    <t>REFEUREFI-FDS</t>
  </si>
  <si>
    <t>CC_JP</t>
  </si>
  <si>
    <t>Japan Policy Rate</t>
  </si>
  <si>
    <t>REFJPTON-FDS</t>
  </si>
  <si>
    <t>CC_GB</t>
  </si>
  <si>
    <t>UK Bank Rate</t>
  </si>
  <si>
    <t>REFGBBANK-FDS</t>
  </si>
  <si>
    <t>CC_US</t>
  </si>
  <si>
    <t>US Federal Funds Target Rate</t>
  </si>
  <si>
    <t>REFFFUND-FDS</t>
  </si>
  <si>
    <t>Asia Pacific</t>
  </si>
  <si>
    <t>CC_AU</t>
  </si>
  <si>
    <t>Australia Target Cash Rate</t>
  </si>
  <si>
    <t>REFAUCASH-FDS</t>
  </si>
  <si>
    <t>CC_CN</t>
  </si>
  <si>
    <t>China Loan Prime Rate (LPR) - 1 Year</t>
  </si>
  <si>
    <t>REFCNRMB-FDS</t>
  </si>
  <si>
    <t>HK</t>
  </si>
  <si>
    <t>CC_HK</t>
  </si>
  <si>
    <t>Hong Kong China Discount Window Base Rate</t>
  </si>
  <si>
    <t>REFHKBASE-FDS</t>
  </si>
  <si>
    <t>CC_IN</t>
  </si>
  <si>
    <t>India Repo Rate</t>
  </si>
  <si>
    <t>REFINREPO-FDS</t>
  </si>
  <si>
    <t>CC_ID</t>
  </si>
  <si>
    <t>Indonesia BI (Reverse) Repo Rate - 7 Day</t>
  </si>
  <si>
    <t>REFIDRREPO-FDS</t>
  </si>
  <si>
    <t>KZ</t>
  </si>
  <si>
    <t>CC_KZ</t>
  </si>
  <si>
    <t>Kazakhstan Base Interest Rate</t>
  </si>
  <si>
    <t>REFKZBASE-FDS</t>
  </si>
  <si>
    <t>CC_MY</t>
  </si>
  <si>
    <t>Malaysia Policy Rate - Overnight</t>
  </si>
  <si>
    <t>REFMYON-FDS</t>
  </si>
  <si>
    <t>NZ</t>
  </si>
  <si>
    <t>CC_NZ</t>
  </si>
  <si>
    <t>New Zealand Official Cash Rate</t>
  </si>
  <si>
    <t>REFNZOCR-FDS</t>
  </si>
  <si>
    <t>PK</t>
  </si>
  <si>
    <t>CC_PK</t>
  </si>
  <si>
    <t>Pakistan Policy Rate</t>
  </si>
  <si>
    <t>REFPKMPR-FDS</t>
  </si>
  <si>
    <t>CC_PH</t>
  </si>
  <si>
    <t>Philippines Reverse Repo Rate - Overnight</t>
  </si>
  <si>
    <t>REFPHRREPO-FDS</t>
  </si>
  <si>
    <t>SG</t>
  </si>
  <si>
    <t>CC_SG</t>
  </si>
  <si>
    <t>CC_KR</t>
  </si>
  <si>
    <t>South Korea Base Rate</t>
  </si>
  <si>
    <t>REFKRBASE-FDS</t>
  </si>
  <si>
    <t>LK</t>
  </si>
  <si>
    <t>CC_LK</t>
  </si>
  <si>
    <t>Sri Lanka Repo rate</t>
  </si>
  <si>
    <t>REFLKREPO-FDS</t>
  </si>
  <si>
    <t>CC_TW</t>
  </si>
  <si>
    <t>Taiwan China Discount Rate</t>
  </si>
  <si>
    <t>REFTWDISC-FDS</t>
  </si>
  <si>
    <t>TH</t>
  </si>
  <si>
    <t>CC_TH</t>
  </si>
  <si>
    <t>Thailand Repo Rate - 1 Day</t>
  </si>
  <si>
    <t>REFTHREPO-FDS</t>
  </si>
  <si>
    <t>CC_VN</t>
  </si>
  <si>
    <t>Vietnam Discount Rate</t>
  </si>
  <si>
    <t>REFVNDISC-FDS</t>
  </si>
  <si>
    <t>Europe</t>
  </si>
  <si>
    <t>AL</t>
  </si>
  <si>
    <t>CC_AL</t>
  </si>
  <si>
    <t>Albania Repo Rate - 1 Week</t>
  </si>
  <si>
    <t>REFAL1WREPO-FDS</t>
  </si>
  <si>
    <t>BY</t>
  </si>
  <si>
    <t>CC_BY</t>
  </si>
  <si>
    <t>Belarus Refinancing Rate</t>
  </si>
  <si>
    <t>REFBYREF-FDS</t>
  </si>
  <si>
    <t>CZ</t>
  </si>
  <si>
    <t>CC_CZ</t>
  </si>
  <si>
    <t>Czech Republic Repo Rate - 2 Week</t>
  </si>
  <si>
    <t>REFCZREPO-FDS</t>
  </si>
  <si>
    <t>DK</t>
  </si>
  <si>
    <t>CC_DK</t>
  </si>
  <si>
    <t>Denmark Certificates of Deposit Rate</t>
  </si>
  <si>
    <t>REFDKDEP-FDS</t>
  </si>
  <si>
    <t>UZ</t>
  </si>
  <si>
    <t>HU</t>
  </si>
  <si>
    <t>CC_HU</t>
  </si>
  <si>
    <t>Hungary Base Rate</t>
  </si>
  <si>
    <t>REFHUBASE-FDS</t>
  </si>
  <si>
    <t>IS</t>
  </si>
  <si>
    <t>CC_IS</t>
  </si>
  <si>
    <t>Iceland Term Deposit Rate - 7 Day</t>
  </si>
  <si>
    <t>REFISDEP-FDS</t>
  </si>
  <si>
    <t>NO</t>
  </si>
  <si>
    <t>CC_NO</t>
  </si>
  <si>
    <t>Norway Key Sight Deposit Rate</t>
  </si>
  <si>
    <t>REFNOSIGHT-FDS</t>
  </si>
  <si>
    <t>CC_PL</t>
  </si>
  <si>
    <t>Poland Reference Rate - 7 Day</t>
  </si>
  <si>
    <t>REFPL7D-FDS</t>
  </si>
  <si>
    <t>RO</t>
  </si>
  <si>
    <t>CC_RO</t>
  </si>
  <si>
    <t>Romania Policy Rate</t>
  </si>
  <si>
    <t>REFROMPR-FDS</t>
  </si>
  <si>
    <t>RU</t>
  </si>
  <si>
    <t>CC_RU</t>
  </si>
  <si>
    <t>Disc. Russia Repo Rate - 1 Week</t>
  </si>
  <si>
    <t>REFRU1WREPO-FDS</t>
  </si>
  <si>
    <t>RS</t>
  </si>
  <si>
    <t>CC_RS</t>
  </si>
  <si>
    <t>Serbia Policy Rate</t>
  </si>
  <si>
    <t>REFRSMPR-FDS</t>
  </si>
  <si>
    <t>SE</t>
  </si>
  <si>
    <t>CC_SE</t>
  </si>
  <si>
    <t>Sweden Repo Rate</t>
  </si>
  <si>
    <t>REFSEREPO-FDS</t>
  </si>
  <si>
    <t>CC_CH</t>
  </si>
  <si>
    <t>Swiss Policy Rate - Sight Deposit Rate</t>
  </si>
  <si>
    <t>REFCHMPR-FDS</t>
  </si>
  <si>
    <t>CC_TR</t>
  </si>
  <si>
    <t>Turkey Repo Rate - 1 Week</t>
  </si>
  <si>
    <t>REFTR1WREPO-FDS</t>
  </si>
  <si>
    <t>UA</t>
  </si>
  <si>
    <t>CC_UA</t>
  </si>
  <si>
    <t>Ukraine Discount Rate</t>
  </si>
  <si>
    <t>REFUADISC-FDS</t>
  </si>
  <si>
    <t>Latin America</t>
  </si>
  <si>
    <t>AR</t>
  </si>
  <si>
    <t>CC_AR</t>
  </si>
  <si>
    <t>Argentina Monetary Policy Rate</t>
  </si>
  <si>
    <t>REFARPR-FDS</t>
  </si>
  <si>
    <t>CC_BR</t>
  </si>
  <si>
    <t>Brazil Target Selic Rate</t>
  </si>
  <si>
    <t>REFBRSELIC-FDS</t>
  </si>
  <si>
    <t>CC_CL</t>
  </si>
  <si>
    <t>Chile Monetary Policy Rate</t>
  </si>
  <si>
    <t>REFCLMPR-FDS</t>
  </si>
  <si>
    <t>CO</t>
  </si>
  <si>
    <t>CC_CO</t>
  </si>
  <si>
    <t>Colombia Minimum Intervention Rate</t>
  </si>
  <si>
    <t>REFCOMININT-FDS</t>
  </si>
  <si>
    <t>CC_MX</t>
  </si>
  <si>
    <t>Mexico Target Rate - Overnight</t>
  </si>
  <si>
    <t>REFMXTON-FDS</t>
  </si>
  <si>
    <t>CC_PE</t>
  </si>
  <si>
    <t>Peru Policy Rate</t>
  </si>
  <si>
    <t>REFPEMPR-FDS</t>
  </si>
  <si>
    <t>UY</t>
  </si>
  <si>
    <t>CC_UY</t>
  </si>
  <si>
    <t>Uruguay Policy Rate</t>
  </si>
  <si>
    <t>REFUYMPR-FDS</t>
  </si>
  <si>
    <t>Middle East &amp; Africa</t>
  </si>
  <si>
    <t>BH</t>
  </si>
  <si>
    <t>CC_BH</t>
  </si>
  <si>
    <t>Bahrain Deposit Rate - 1 Week</t>
  </si>
  <si>
    <t>REFBH1WDEP-FDS</t>
  </si>
  <si>
    <t>BW</t>
  </si>
  <si>
    <t>CC_BW</t>
  </si>
  <si>
    <t>Disc. Botswana Bank Rate</t>
  </si>
  <si>
    <t>REFBWBANK-FDS</t>
  </si>
  <si>
    <t>EG</t>
  </si>
  <si>
    <t>CC_EG</t>
  </si>
  <si>
    <t>Egypt Deposit Rate - Overnight</t>
  </si>
  <si>
    <t>REFEGDEP-FDS</t>
  </si>
  <si>
    <t>GH</t>
  </si>
  <si>
    <t>CC_GH</t>
  </si>
  <si>
    <t>Ghana Policy Rate</t>
  </si>
  <si>
    <t>REFGHMPR-FDS</t>
  </si>
  <si>
    <t>IL</t>
  </si>
  <si>
    <t>CC_IL</t>
  </si>
  <si>
    <t>Israel Headline Short-Term Interest Rate</t>
  </si>
  <si>
    <t>REFILMPR-FDS</t>
  </si>
  <si>
    <t>JO</t>
  </si>
  <si>
    <t>CC_JO</t>
  </si>
  <si>
    <t>Jordan Monetary Policy Rate</t>
  </si>
  <si>
    <t>REFJOMPR-FDS</t>
  </si>
  <si>
    <t>KE</t>
  </si>
  <si>
    <t>CC_KE</t>
  </si>
  <si>
    <t>Kenya Policy Rate</t>
  </si>
  <si>
    <t>REFKEMPR-FDS</t>
  </si>
  <si>
    <t>KW</t>
  </si>
  <si>
    <t>CC_KW</t>
  </si>
  <si>
    <t>Kuwait Discount Rate</t>
  </si>
  <si>
    <t>REFKWDISC-FDS</t>
  </si>
  <si>
    <t>MU</t>
  </si>
  <si>
    <t>CC_MU</t>
  </si>
  <si>
    <t>Mauritius Repo Rate</t>
  </si>
  <si>
    <t>REFMUREPO-FDS</t>
  </si>
  <si>
    <t>MA</t>
  </si>
  <si>
    <t>CC_MA</t>
  </si>
  <si>
    <t>Morocco Policy Rate</t>
  </si>
  <si>
    <t>REFMAMPR-FDS</t>
  </si>
  <si>
    <t>NA</t>
  </si>
  <si>
    <t>CC_NA</t>
  </si>
  <si>
    <t>Namibia Repo Rate</t>
  </si>
  <si>
    <t>REFNAREPO-FDS</t>
  </si>
  <si>
    <t>NG</t>
  </si>
  <si>
    <t>CC_NG</t>
  </si>
  <si>
    <t>Nigeria Policy Rate</t>
  </si>
  <si>
    <t>RENGMPR-FDS</t>
  </si>
  <si>
    <t>CC_QA</t>
  </si>
  <si>
    <t>Qatar Lending Rate - Overnight</t>
  </si>
  <si>
    <t>REFQALEND-FDS</t>
  </si>
  <si>
    <t>CC_SA</t>
  </si>
  <si>
    <t>Saudi Arabia Repo Rate</t>
  </si>
  <si>
    <t>REFSAREPO-FDS</t>
  </si>
  <si>
    <t>CC_ZA</t>
  </si>
  <si>
    <t>South Africa Repo Rate</t>
  </si>
  <si>
    <t>REFZAREPO-FDS</t>
  </si>
  <si>
    <t>TN</t>
  </si>
  <si>
    <t>CC_TN</t>
  </si>
  <si>
    <t>Tunisia Policy Rate - Rate of Call for Tender (TAO)</t>
  </si>
  <si>
    <t>REFTNMPR-FDS</t>
  </si>
  <si>
    <t>CC_AE</t>
  </si>
  <si>
    <t>United Arab Emirates Repo Rate</t>
  </si>
  <si>
    <t>REFAEREPO-FDS</t>
  </si>
  <si>
    <t>ZM</t>
  </si>
  <si>
    <t>CC_ZM</t>
  </si>
  <si>
    <t>Zambia Policy Rate</t>
  </si>
  <si>
    <t>REFZMMPR-FDS</t>
  </si>
  <si>
    <t>Current Rates</t>
  </si>
  <si>
    <t>3 month change</t>
  </si>
  <si>
    <t>6 month change</t>
  </si>
  <si>
    <t>Currency Pairs</t>
  </si>
  <si>
    <t>Name of Currency Pair</t>
  </si>
  <si>
    <t>Currency change last 12 month</t>
  </si>
  <si>
    <t>USDZAR</t>
  </si>
  <si>
    <t>USDINR</t>
  </si>
  <si>
    <t>Currency change last 3  month</t>
  </si>
  <si>
    <t>Currency change last 1 month</t>
  </si>
  <si>
    <t>Rolling 12 month returns</t>
  </si>
  <si>
    <t>USDKRW</t>
  </si>
  <si>
    <t xml:space="preserve"> 1 month revison</t>
  </si>
  <si>
    <t>3 month revsion</t>
  </si>
  <si>
    <t>Rev 1 month</t>
  </si>
  <si>
    <t>Rev 3 month</t>
  </si>
  <si>
    <t>Best</t>
  </si>
  <si>
    <t>median</t>
  </si>
  <si>
    <t>Monthly ( % )</t>
  </si>
  <si>
    <t xml:space="preserve">Yearly ( % </t>
  </si>
  <si>
    <t>% drawdown</t>
  </si>
  <si>
    <t>C</t>
  </si>
  <si>
    <t>Percentile 1montsh back</t>
  </si>
  <si>
    <t>Percentile 2months</t>
  </si>
  <si>
    <t>Max monthly  Drawdown</t>
  </si>
  <si>
    <t>Yearly drawdown freq</t>
  </si>
  <si>
    <t>High is good , means low risk</t>
  </si>
  <si>
    <t>12 month return percentile</t>
  </si>
  <si>
    <t>DY</t>
  </si>
  <si>
    <t>EV/ EBIT</t>
  </si>
  <si>
    <t>ROE</t>
  </si>
  <si>
    <t>Cuurency Volataility annlualzied</t>
  </si>
  <si>
    <t>DY -Shor term rates</t>
  </si>
  <si>
    <t>FCF -rates</t>
  </si>
  <si>
    <t>Trailing PE percentile</t>
  </si>
  <si>
    <t>Forward PE percentile</t>
  </si>
  <si>
    <t>Central bank Direction</t>
  </si>
  <si>
    <t>A</t>
  </si>
  <si>
    <t>A.1</t>
  </si>
  <si>
    <t>A.2</t>
  </si>
  <si>
    <t>A.3</t>
  </si>
  <si>
    <t xml:space="preserve">B. </t>
  </si>
  <si>
    <t>C.1</t>
  </si>
  <si>
    <t>C.2</t>
  </si>
  <si>
    <t>D</t>
  </si>
  <si>
    <t>Final model</t>
  </si>
  <si>
    <t xml:space="preserve">E. </t>
  </si>
  <si>
    <t>e.1</t>
  </si>
  <si>
    <t>Currency  volatality</t>
  </si>
  <si>
    <t>e.2</t>
  </si>
  <si>
    <t>Imbalances</t>
  </si>
  <si>
    <t>ROE - rates</t>
  </si>
  <si>
    <t>CNYA</t>
  </si>
  <si>
    <t>ENZL</t>
  </si>
  <si>
    <t>THD</t>
  </si>
  <si>
    <t>iShares MSCI China A ETF</t>
  </si>
  <si>
    <t>iShares MSCI Chile ETF</t>
  </si>
  <si>
    <t>iShares MSCI Indonesia ETF</t>
  </si>
  <si>
    <t>iShares MSCI Philippines ETF</t>
  </si>
  <si>
    <t>iShares MSCI Poland ETF</t>
  </si>
  <si>
    <t>iShares MSCI Peru ETF</t>
  </si>
  <si>
    <t>iShares MSCI Malaysia ETF</t>
  </si>
  <si>
    <t>iShares MSCI South Africa ETF</t>
  </si>
  <si>
    <t>Global X MSCI Greece ETF</t>
  </si>
  <si>
    <t>iShares MSCI Qatar ETF</t>
  </si>
  <si>
    <t>iShares MSCI Thailand ETF</t>
  </si>
  <si>
    <t>iShares MSCI Turkey ETF</t>
  </si>
  <si>
    <t>iShares MSCI UAE ETF</t>
  </si>
  <si>
    <t>VanEck Vietnam ETF</t>
  </si>
  <si>
    <t xml:space="preserve">Saudi Arabia </t>
  </si>
  <si>
    <t>iShares MSCI New Zealand ETF</t>
  </si>
  <si>
    <t xml:space="preserve">United kingdom </t>
  </si>
  <si>
    <t>Nasdaq</t>
  </si>
  <si>
    <t>TRYTH10Y-FDS</t>
  </si>
  <si>
    <t>Equity attractivess</t>
  </si>
  <si>
    <t>EY</t>
  </si>
  <si>
    <t>EY - traling</t>
  </si>
  <si>
    <t>FF reate</t>
  </si>
  <si>
    <t xml:space="preserve">10 year </t>
  </si>
  <si>
    <t>Spread -FF</t>
  </si>
  <si>
    <t>Spread - 30 year</t>
  </si>
  <si>
    <t>Oil</t>
  </si>
  <si>
    <t>3 month change%</t>
  </si>
  <si>
    <t>Cb action</t>
  </si>
  <si>
    <t>market based Indicator- 3month</t>
  </si>
  <si>
    <t>C.3</t>
  </si>
  <si>
    <t>market based Indicator- 6 month</t>
  </si>
  <si>
    <t>Average last 3 months</t>
  </si>
  <si>
    <t>USDEUR</t>
  </si>
  <si>
    <t>USDIDR</t>
  </si>
  <si>
    <t>USDBRL</t>
  </si>
  <si>
    <t>USDTHB</t>
  </si>
  <si>
    <t>USDVND</t>
  </si>
  <si>
    <t>USDCNH</t>
  </si>
  <si>
    <t>USDMYR</t>
  </si>
  <si>
    <t>USDTWD</t>
  </si>
  <si>
    <t>USDTRY</t>
  </si>
  <si>
    <t>USDPLN</t>
  </si>
  <si>
    <t>USDMXN</t>
  </si>
  <si>
    <t>USDPHP</t>
  </si>
  <si>
    <t>USDCLP</t>
  </si>
  <si>
    <t>USDPEN</t>
  </si>
  <si>
    <t>Currency Annualized yearly  volatility (3 years)</t>
  </si>
  <si>
    <t>12 month out</t>
  </si>
  <si>
    <t>earnings growth</t>
  </si>
  <si>
    <t>rank - 1 month</t>
  </si>
  <si>
    <t>rank 3 month</t>
  </si>
  <si>
    <t>rank 6 month</t>
  </si>
  <si>
    <t>Currency change last 6  month</t>
  </si>
  <si>
    <t>Cuurency Momnetum</t>
  </si>
  <si>
    <t>CA- trailing as % of GDP</t>
  </si>
  <si>
    <t>CA forcasted as % of GDP</t>
  </si>
  <si>
    <t>CAGDPY@</t>
  </si>
  <si>
    <t>CY 2022</t>
  </si>
  <si>
    <t>CY 2023</t>
  </si>
  <si>
    <t>Country Name</t>
  </si>
  <si>
    <t>CC Code</t>
  </si>
  <si>
    <t>Mnemonic</t>
  </si>
  <si>
    <t>CC_GR</t>
  </si>
  <si>
    <t>Cuuremncy Momentum</t>
  </si>
  <si>
    <t>Cuurency Volatality</t>
  </si>
  <si>
    <t>In rate Dffe</t>
  </si>
  <si>
    <t>CAD</t>
  </si>
  <si>
    <t>Rank</t>
  </si>
  <si>
    <t>Currency Score</t>
  </si>
  <si>
    <t>G</t>
  </si>
  <si>
    <t>Quality</t>
  </si>
  <si>
    <t>Current</t>
  </si>
  <si>
    <t>% of Financials</t>
  </si>
  <si>
    <t>Growth Track Record</t>
  </si>
  <si>
    <t>Worst Historical Return</t>
  </si>
  <si>
    <t>F</t>
  </si>
  <si>
    <t>Prioce / 52 week low</t>
  </si>
  <si>
    <t>Closeness - 52W- H</t>
  </si>
  <si>
    <t>Closeness -52WL</t>
  </si>
  <si>
    <t>Contra</t>
  </si>
  <si>
    <t>A-4</t>
  </si>
  <si>
    <t>Away-52W L</t>
  </si>
  <si>
    <t>Closeness - 52w L</t>
  </si>
  <si>
    <t>rank Currency</t>
  </si>
  <si>
    <t>CURRENT RATES</t>
  </si>
  <si>
    <t>DY - Current Rates</t>
  </si>
  <si>
    <t>FCF - Current Rates</t>
  </si>
  <si>
    <t>ROE - Current Rates</t>
  </si>
  <si>
    <t>DY - Current Rate Percentile</t>
  </si>
  <si>
    <t>FCF - Current Rate Percentile</t>
  </si>
  <si>
    <t>ROE - Current Rate  Percentile</t>
  </si>
  <si>
    <t>PE trailing Percentile</t>
  </si>
  <si>
    <t>PE forward Percentile</t>
  </si>
  <si>
    <t>ETF</t>
  </si>
  <si>
    <t>ETF Name</t>
  </si>
  <si>
    <t>Yearly freq</t>
  </si>
  <si>
    <t>Risk Score</t>
  </si>
  <si>
    <t>Yearly Drawdwn</t>
  </si>
  <si>
    <t>Monthly  Drawdwin</t>
  </si>
  <si>
    <t>Long term Econmic growth</t>
  </si>
  <si>
    <t>Current Long termRates</t>
  </si>
  <si>
    <t>Policy rates</t>
  </si>
  <si>
    <t>" Higher weight = poor score , so reverse scores</t>
  </si>
  <si>
    <t>Worst drawdown</t>
  </si>
  <si>
    <t xml:space="preserve">Average ROE </t>
  </si>
  <si>
    <t>Overall Value Score</t>
  </si>
  <si>
    <t>country</t>
  </si>
  <si>
    <t>Financilas As % of earnings</t>
  </si>
  <si>
    <t>Worst Drawdown percentile</t>
  </si>
  <si>
    <t>Overall Quality Score</t>
  </si>
  <si>
    <t>Other data</t>
  </si>
  <si>
    <t>VGK</t>
  </si>
  <si>
    <t>Europe ETF</t>
  </si>
  <si>
    <t>EM ETF</t>
  </si>
  <si>
    <t>Average ROE - currenr rate</t>
  </si>
  <si>
    <t>Avg ROE - Current Rates</t>
  </si>
  <si>
    <t>Value Percentile</t>
  </si>
  <si>
    <t>Quality Percentile</t>
  </si>
  <si>
    <t>MOMENTUM</t>
  </si>
  <si>
    <t>COUNTRY</t>
  </si>
  <si>
    <t>VALUE</t>
  </si>
  <si>
    <t>LIQUIDITY</t>
  </si>
  <si>
    <t>QUALITY</t>
  </si>
  <si>
    <t>RISK</t>
  </si>
  <si>
    <t>CURRENCY</t>
  </si>
  <si>
    <t>OVERALL SCORE</t>
  </si>
  <si>
    <t>UPGRADES</t>
  </si>
  <si>
    <t>LIQUIDITY_SCORE</t>
  </si>
  <si>
    <t>SCORE</t>
  </si>
  <si>
    <t>USDAED</t>
  </si>
  <si>
    <t>USDSAR</t>
  </si>
  <si>
    <t>USDQAR</t>
  </si>
  <si>
    <t>CC_DE</t>
  </si>
  <si>
    <t>Back to Index</t>
  </si>
  <si>
    <r>
      <t xml:space="preserve">Data in GDP PPP Constant price terms, modified by updated Base Years and Informal Economy data. </t>
    </r>
    <r>
      <rPr>
        <b/>
        <u/>
        <sz val="11"/>
        <color indexed="30"/>
        <rFont val="Calibri"/>
        <family val="2"/>
      </rPr>
      <t>Read more</t>
    </r>
  </si>
  <si>
    <t>Compound Annual Growth Rate</t>
  </si>
  <si>
    <t>Year on Year Growth Rate</t>
  </si>
  <si>
    <t>Region</t>
  </si>
  <si>
    <t>Country</t>
  </si>
  <si>
    <t>CAGR 3 Year %</t>
  </si>
  <si>
    <t>CAGR 5 Year %</t>
  </si>
  <si>
    <t>CAGR 10 Year %</t>
  </si>
  <si>
    <t>Asia-Pacific</t>
  </si>
  <si>
    <t>Afghanistan</t>
  </si>
  <si>
    <t>E</t>
  </si>
  <si>
    <t>Albania</t>
  </si>
  <si>
    <t>Africa</t>
  </si>
  <si>
    <t>Algeria</t>
  </si>
  <si>
    <t>B</t>
  </si>
  <si>
    <t>Angola</t>
  </si>
  <si>
    <t>Americas</t>
  </si>
  <si>
    <t>Argentina</t>
  </si>
  <si>
    <t>Armenia</t>
  </si>
  <si>
    <t>Australia</t>
  </si>
  <si>
    <t>Austria</t>
  </si>
  <si>
    <t>Azerbaijan</t>
  </si>
  <si>
    <t>Bahamas, The</t>
  </si>
  <si>
    <t>Middle East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</si>
  <si>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</si>
  <si>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</si>
  <si>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</si>
  <si>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</si>
  <si>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</si>
  <si>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</si>
  <si>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</si>
  <si>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</si>
  <si>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</si>
  <si>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</si>
  <si>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</si>
  <si>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</si>
  <si>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</si>
  <si>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</si>
  <si>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</si>
  <si>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</si>
  <si>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</si>
  <si>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</si>
  <si>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</si>
  <si>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</si>
  <si>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</si>
  <si>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</si>
  <si>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</si>
  <si>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</si>
  <si>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</si>
  <si>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</si>
  <si>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</si>
  <si>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</si>
  <si>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</si>
  <si>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</si>
  <si>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</si>
  <si>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</si>
  <si>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</si>
  <si>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</si>
  <si>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</si>
  <si>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</si>
  <si>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</si>
  <si>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</si>
  <si>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</si>
  <si>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</si>
  <si>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</si>
  <si>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</si>
  <si>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</si>
  <si>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</si>
  <si>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</si>
  <si>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</si>
  <si>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</si>
  <si>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</si>
  <si>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</si>
  <si>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</si>
  <si>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</si>
  <si>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</si>
  <si>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</si>
  <si>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</si>
  <si>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</si>
  <si>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</si>
  <si>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</si>
  <si>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</si>
  <si>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</si>
  <si>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</si>
  <si>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</si>
  <si>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</si>
  <si>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</si>
  <si>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</si>
  <si>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</si>
  <si>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</si>
  <si>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</si>
  <si>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</si>
  <si>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</si>
  <si>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</si>
  <si>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</si>
  <si>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</si>
  <si>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</si>
  <si>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</si>
  <si>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</si>
  <si>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</si>
  <si>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</si>
  <si>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</si>
  <si>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</si>
  <si>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</si>
  <si>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</si>
  <si>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</si>
  <si>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</si>
  <si>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</si>
  <si>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</si>
  <si>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</si>
  <si>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</si>
  <si>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</si>
  <si>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</si>
  <si>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</si>
  <si>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</si>
  <si>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</si>
  <si>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</si>
  <si>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</si>
  <si>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</si>
  <si>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</si>
  <si>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</si>
  <si>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</si>
  <si>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</si>
  <si>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</si>
  <si>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</si>
  <si>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</si>
  <si>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</si>
  <si>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</si>
  <si>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</si>
  <si>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</si>
  <si>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</si>
  <si>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</si>
  <si>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</si>
  <si>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</si>
  <si>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</si>
  <si>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</si>
  <si>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</si>
  <si>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</si>
  <si>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</si>
  <si>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</si>
  <si>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</si>
  <si>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</si>
  <si>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</si>
  <si>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</si>
  <si>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</si>
  <si>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</si>
  <si>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</si>
  <si>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</si>
  <si>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</si>
  <si>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</si>
  <si>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</si>
  <si>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</si>
  <si>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</si>
  <si>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</si>
  <si>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</si>
  <si>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</si>
  <si>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</si>
  <si>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</si>
  <si>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</si>
  <si>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</si>
  <si>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</si>
  <si>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</si>
  <si>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</si>
  <si>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</si>
  <si>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</si>
  <si>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</si>
  <si>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</si>
  <si>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Yemen, Rep.</t>
  </si>
  <si>
    <t>Zambia</t>
  </si>
  <si>
    <t>Zimbabwe</t>
  </si>
  <si>
    <t>Compound Annual Growth Rates Over 3, 5, 10 year periods  - By Region</t>
  </si>
  <si>
    <t>DQR PPP Grade</t>
  </si>
  <si>
    <t>DQR PPP Index</t>
  </si>
  <si>
    <t>DQR PPP Global Rank</t>
  </si>
  <si>
    <t>DQR PPP Regional Rank</t>
  </si>
  <si>
    <t>Forcecasts</t>
  </si>
  <si>
    <t xml:space="preserve">Avg. ROE - Curr Rates </t>
  </si>
  <si>
    <t xml:space="preserve">Financilas As % of earnings </t>
  </si>
  <si>
    <t>Earnings  track record</t>
  </si>
  <si>
    <t xml:space="preserve">Earnings track record </t>
  </si>
  <si>
    <t>OVERALL RANK</t>
  </si>
  <si>
    <t>AVG 5 &amp; 10 YR CAGR</t>
  </si>
  <si>
    <t>CAGR RANK</t>
  </si>
  <si>
    <t>COUNTRY NAME</t>
  </si>
  <si>
    <t>INFLATION RATES</t>
  </si>
  <si>
    <t>ROE- Inflation Rates</t>
  </si>
  <si>
    <t>ROE - Inflation Rate Percentile</t>
  </si>
  <si>
    <t>SET-BKK</t>
  </si>
  <si>
    <t>Thailand SET Index</t>
  </si>
  <si>
    <t>ROE - Inflation</t>
  </si>
  <si>
    <t>level</t>
  </si>
  <si>
    <t>Quarrerly Pint Change</t>
  </si>
  <si>
    <t>EM</t>
  </si>
  <si>
    <t>NTCPMIMFGSA@BR</t>
  </si>
  <si>
    <t>NTCPMIMFGSA@MX</t>
  </si>
  <si>
    <t>NTCPMIMFGSA@CN</t>
  </si>
  <si>
    <t>NTCPMIMFGSA@IN</t>
  </si>
  <si>
    <t>NTCPMIMFGSA@ID</t>
  </si>
  <si>
    <t>NTCPMIMFGSA@KR</t>
  </si>
  <si>
    <t>South Korea</t>
  </si>
  <si>
    <t>NTCPMIMFGSA@TW</t>
  </si>
  <si>
    <t>NTCPMIMFGSA@VN</t>
  </si>
  <si>
    <t>NTCPMIMFGSA@GR</t>
  </si>
  <si>
    <t>NTCPMIMFGSA@PL</t>
  </si>
  <si>
    <t>NTCPMIMFGSA@TR</t>
  </si>
  <si>
    <t>PMIDMMANHE</t>
  </si>
  <si>
    <t>Developed Markets</t>
  </si>
  <si>
    <t>NTCPMIMFGSA@EME</t>
  </si>
  <si>
    <t>Emerging Markets</t>
  </si>
  <si>
    <t>Country_Code</t>
  </si>
  <si>
    <t>PMI</t>
  </si>
  <si>
    <t>NTCPMIMFGSA@CL</t>
  </si>
  <si>
    <t>NTCPMIMFGSA@PE</t>
  </si>
  <si>
    <t>NTCPMIMFGSA@AE</t>
  </si>
  <si>
    <t>A-5</t>
  </si>
  <si>
    <t>Economic Momentm</t>
  </si>
  <si>
    <t>Q-Q Change</t>
  </si>
  <si>
    <t>GDP AVG 5 &amp; 10 YR CAGR</t>
  </si>
  <si>
    <t>GDP Percentile</t>
  </si>
  <si>
    <t>NTCPMIPHMANHE</t>
  </si>
  <si>
    <t>PMIMYMANHE</t>
  </si>
  <si>
    <t>PMIMFGSA@ZA</t>
  </si>
  <si>
    <t>PMIQAWHEHE</t>
  </si>
  <si>
    <t>NTCPMITHMANHE</t>
  </si>
  <si>
    <t>NTCPMIINDEXSA@SA</t>
  </si>
  <si>
    <t>Start Date</t>
  </si>
  <si>
    <t>End Date</t>
  </si>
  <si>
    <t>Q-Q CHANGE</t>
  </si>
  <si>
    <t>PMI RANK</t>
  </si>
  <si>
    <t>Q-Q CHANGE RANK</t>
  </si>
  <si>
    <t>CODE</t>
  </si>
  <si>
    <t>INFLATION RATE</t>
  </si>
  <si>
    <t>COMPOSITE VALUE</t>
  </si>
  <si>
    <t>Top down</t>
  </si>
  <si>
    <t>URTH</t>
  </si>
  <si>
    <t>World</t>
  </si>
  <si>
    <t>max</t>
  </si>
  <si>
    <t>&gt;</t>
  </si>
  <si>
    <t>&lt;</t>
  </si>
  <si>
    <t>Monthly Return Percentile</t>
  </si>
  <si>
    <t>name</t>
  </si>
  <si>
    <t>Spot</t>
  </si>
  <si>
    <t>30day Moving Avg.</t>
  </si>
  <si>
    <t>% change 1 month</t>
  </si>
  <si>
    <t>3 Month change</t>
  </si>
  <si>
    <t>6 month  cahnge</t>
  </si>
  <si>
    <t>12 month change</t>
  </si>
  <si>
    <t>Price / 52weeek high</t>
  </si>
  <si>
    <t>5 year high</t>
  </si>
  <si>
    <t>Commodity Indicator</t>
  </si>
  <si>
    <t>TIOS-FDS</t>
  </si>
  <si>
    <t>Iron Ore</t>
  </si>
  <si>
    <t>COPP-FDS</t>
  </si>
  <si>
    <t>Copper</t>
  </si>
  <si>
    <t>BRENT-FDS</t>
  </si>
  <si>
    <t>W-FDS</t>
  </si>
  <si>
    <t>Wheat</t>
  </si>
  <si>
    <t>CPALM-FDS</t>
  </si>
  <si>
    <t>Palm Oil</t>
  </si>
  <si>
    <t>PLATI-FDS</t>
  </si>
  <si>
    <t>Platinum</t>
  </si>
  <si>
    <t>NI-FDS</t>
  </si>
  <si>
    <t>Nickel</t>
  </si>
  <si>
    <t>PASP-FDS</t>
  </si>
  <si>
    <t>Palaadium</t>
  </si>
  <si>
    <t>WL-FDS</t>
  </si>
  <si>
    <t>DDR3512M-FDS</t>
  </si>
  <si>
    <t>DRAM</t>
  </si>
  <si>
    <t>COMPOSITE VALUE SCORE</t>
  </si>
  <si>
    <t xml:space="preserve">Cut off (-ve) </t>
  </si>
  <si>
    <t>Cut off (+ve)</t>
  </si>
  <si>
    <t>Total</t>
  </si>
  <si>
    <t>japan</t>
  </si>
  <si>
    <t>30da MA index</t>
  </si>
  <si>
    <t>Index Level</t>
  </si>
  <si>
    <t xml:space="preserve">200D MA index </t>
  </si>
  <si>
    <t>ETF Ticker</t>
  </si>
  <si>
    <t>COUNTRY CODE</t>
  </si>
  <si>
    <t>Weight in momnetum</t>
  </si>
  <si>
    <t>Cut off</t>
  </si>
  <si>
    <t>Cut Off</t>
  </si>
  <si>
    <t>Weight in value</t>
  </si>
  <si>
    <t>value Cut  off</t>
  </si>
  <si>
    <t>ETF TICKER</t>
  </si>
  <si>
    <t>VOLATILITY</t>
  </si>
  <si>
    <t>STD_DEV</t>
  </si>
  <si>
    <t>Annualized Volatility</t>
  </si>
  <si>
    <t>Weight in Currency</t>
  </si>
  <si>
    <t>Momentum_vol</t>
  </si>
  <si>
    <t>Value_Vol</t>
  </si>
  <si>
    <t>Liquidity_Vol</t>
  </si>
  <si>
    <t>Currency_Vol</t>
  </si>
  <si>
    <t>Weight in Liquidity</t>
  </si>
  <si>
    <t>60D MA index</t>
  </si>
  <si>
    <t>FC0000CN</t>
  </si>
  <si>
    <t>FC0000CL</t>
  </si>
  <si>
    <t>FC0000ID</t>
  </si>
  <si>
    <t>FC0000PH</t>
  </si>
  <si>
    <t>FC0000PL</t>
  </si>
  <si>
    <t>FC0000PE</t>
  </si>
  <si>
    <t>FC0000MY</t>
  </si>
  <si>
    <t>FC0000TW</t>
  </si>
  <si>
    <t>FC0000MX</t>
  </si>
  <si>
    <t>FC0000KR</t>
  </si>
  <si>
    <t>FC0000BR</t>
  </si>
  <si>
    <t>FC0000ZA</t>
  </si>
  <si>
    <t>FC0000GR</t>
  </si>
  <si>
    <t>FC0000IN</t>
  </si>
  <si>
    <t>FC0000QA</t>
  </si>
  <si>
    <t>FC0000TR</t>
  </si>
  <si>
    <t>FC0000AE</t>
  </si>
  <si>
    <t>FTSEWIVNXXXX</t>
  </si>
  <si>
    <t>FC0000SA</t>
  </si>
  <si>
    <t>ETF Market_Cap</t>
  </si>
  <si>
    <t>Country Index Ticker</t>
  </si>
  <si>
    <t>Index Market Cap</t>
  </si>
  <si>
    <t xml:space="preserve">WEIGHTED_AVG </t>
  </si>
  <si>
    <t>CUT-OFF</t>
  </si>
  <si>
    <t>Number of Bets</t>
  </si>
  <si>
    <t>NQG00809</t>
  </si>
  <si>
    <t>MOMENTUM_WEIGHT</t>
  </si>
  <si>
    <t>LIQUIDITY_WEIGHT</t>
  </si>
  <si>
    <t>CURRENCY_WEIGHT</t>
  </si>
  <si>
    <t>WEIGHTED_AVERAGE</t>
  </si>
  <si>
    <t>NORMALIZED_WT_AVG</t>
  </si>
  <si>
    <t>VALUE_WEIGHT</t>
  </si>
  <si>
    <t>Rules</t>
  </si>
  <si>
    <t>QQ change</t>
  </si>
  <si>
    <t>&gt;50</t>
  </si>
  <si>
    <t>&gt;0</t>
  </si>
  <si>
    <t>&lt;0</t>
  </si>
  <si>
    <t>&lt;50</t>
  </si>
  <si>
    <t>Change overall rank using this logic, let logc box be there so we can see the assumptions and change according;ly</t>
  </si>
  <si>
    <t>A- 6</t>
  </si>
  <si>
    <t>Size</t>
  </si>
  <si>
    <t>Mcap of Underlying</t>
  </si>
  <si>
    <t>No  comp. with upward revisions (1 month)</t>
  </si>
  <si>
    <t>Market_Cap Percentile</t>
  </si>
  <si>
    <t>Sum</t>
  </si>
  <si>
    <t>% of Countries above 30 day</t>
  </si>
  <si>
    <t>% of Countries above 60 day</t>
  </si>
  <si>
    <t>% of Countries above 200 day</t>
  </si>
  <si>
    <t>TECHNICAL STRENGTH</t>
  </si>
  <si>
    <t>1 month change</t>
  </si>
  <si>
    <t>FC0000TH</t>
  </si>
  <si>
    <t>1 month return</t>
  </si>
  <si>
    <t>PMI Q-Q Change</t>
  </si>
  <si>
    <t>Overall Safety Score</t>
  </si>
  <si>
    <t>SAFETY PERCENTILE</t>
  </si>
  <si>
    <t>SAFETY</t>
  </si>
  <si>
    <t>Safety</t>
  </si>
  <si>
    <t>Monthly 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</si>
</sst>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(* #,##0.00_);_(* \(#,##0.00\);_(* &quot;-&quot;??_);_(@_)"/>
    <numFmt numFmtId="165" formatCode="0.0"/>
    <numFmt numFmtId="166" formatCode="&quot;$&quot;#,##0.0_);\(&quot;$&quot;#,##0.0\);&quot;$&quot;#,##0.0_);@_)"/>
    <numFmt numFmtId="167" formatCode="0.0%_);\(0.0%\);0.0%_);@_)"/>
    <numFmt numFmtId="168" formatCode="0.0%"/>
    <numFmt numFmtId="169" formatCode="0.000"/>
    <numFmt numFmtId="170" formatCode="0.000000"/>
    <numFmt numFmtId="171" formatCode="0.0000000000000000%"/>
    <numFmt numFmtId="172" formatCode="&quot;$&quot;#,##0.00"/>
    <numFmt numFmtId="173" formatCode="_(&quot;$&quot;* #,##0.00_);_(&quot;$&quot;* \(#,##0.00\);_(&quot;$&quot;* &quot;-&quot;??_);_(@_)"/>
    <numFmt numFmtId="174" formatCode="_(&quot;$&quot;* #,##0_);_(&quot;$&quot;* \(#,##0\);_(&quot;$&quot;* &quot;-&quot;??_);_(@_)"/>
  </numFmts>
  <fonts count="4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9"/>
      <color rgb="FF00B0F0"/>
      <name val="Trebuchet MS"/>
      <family val="2"/>
    </font>
    <font>
      <sz val="10"/>
      <name val="Arial"/>
      <family val="2"/>
    </font>
    <font>
      <sz val="9"/>
      <color indexed="8"/>
      <name val="Trebuchet MS"/>
      <family val="2"/>
    </font>
    <font>
      <sz val="14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1"/>
      <scheme val="minor"/>
    </font>
    <font>
      <u/>
      <sz val="11"/>
      <color indexed="12"/>
      <name val="Calibri"/>
      <family val="2"/>
    </font>
    <font>
      <b/>
      <sz val="14"/>
      <color indexed="12"/>
      <name val="Calibri"/>
      <family val="2"/>
    </font>
    <font>
      <b/>
      <sz val="16"/>
      <color indexed="8"/>
      <name val="Calibri"/>
      <family val="2"/>
    </font>
    <font>
      <b/>
      <u/>
      <sz val="11"/>
      <color indexed="30"/>
      <name val="Calibri"/>
      <family val="2"/>
    </font>
    <font>
      <b/>
      <sz val="11"/>
      <color indexed="8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1"/>
      <scheme val="minor"/>
    </font>
    <font>
      <b/>
      <sz val="12"/>
      <color rgb="FF000118"/>
      <name val="Nunito Sans"/>
    </font>
    <font>
      <sz val="7"/>
      <name val="Courier New"/>
      <family val="3"/>
    </font>
    <font>
      <b/>
      <sz val="9"/>
      <color indexed="81"/>
      <name val="Tahoma"/>
      <charset val="1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52">
    <xf numFmtId="0" fontId="0" fillId="0" borderId="0"/>
    <xf numFmtId="164" fontId="2" fillId="0" borderId="0" applyFont="0" applyFill="0" applyBorder="0" applyAlignment="0" applyProtection="0"/>
    <xf numFmtId="0" fontId="5" fillId="4" borderId="0" applyNumberFormat="0" applyBorder="0" applyAlignment="0" applyProtection="0"/>
    <xf numFmtId="9" fontId="2" fillId="0" borderId="0" applyFont="0" applyFill="0" applyBorder="0" applyAlignment="0" applyProtection="0"/>
    <xf numFmtId="0" fontId="21" fillId="0" borderId="0"/>
    <xf numFmtId="0" fontId="22" fillId="0" borderId="0"/>
    <xf numFmtId="0" fontId="26" fillId="0" borderId="0"/>
    <xf numFmtId="0" fontId="27" fillId="0" borderId="27"/>
    <xf numFmtId="0" fontId="28" fillId="0" borderId="27"/>
    <xf numFmtId="0" fontId="29" fillId="0" borderId="6"/>
    <xf numFmtId="0" fontId="29" fillId="0" borderId="0"/>
    <xf numFmtId="0" fontId="30" fillId="14" borderId="0"/>
    <xf numFmtId="0" fontId="31" fillId="15" borderId="0"/>
    <xf numFmtId="0" fontId="32" fillId="16" borderId="0"/>
    <xf numFmtId="0" fontId="33" fillId="12" borderId="13"/>
    <xf numFmtId="0" fontId="34" fillId="17" borderId="13"/>
    <xf numFmtId="0" fontId="35" fillId="17" borderId="13"/>
    <xf numFmtId="0" fontId="36" fillId="0" borderId="28"/>
    <xf numFmtId="0" fontId="23" fillId="18" borderId="29"/>
    <xf numFmtId="0" fontId="24" fillId="0" borderId="0"/>
    <xf numFmtId="0" fontId="21" fillId="13" borderId="13"/>
    <xf numFmtId="0" fontId="37" fillId="0" borderId="0"/>
    <xf numFmtId="0" fontId="18" fillId="0" borderId="30"/>
    <xf numFmtId="0" fontId="25" fillId="19" borderId="0"/>
    <xf numFmtId="0" fontId="21" fillId="20" borderId="0"/>
    <xf numFmtId="0" fontId="21" fillId="21" borderId="0"/>
    <xf numFmtId="0" fontId="25" fillId="22" borderId="0"/>
    <xf numFmtId="0" fontId="25" fillId="23" borderId="0"/>
    <xf numFmtId="0" fontId="21" fillId="7" borderId="0"/>
    <xf numFmtId="0" fontId="21" fillId="5" borderId="0"/>
    <xf numFmtId="0" fontId="25" fillId="24" borderId="0"/>
    <xf numFmtId="0" fontId="25" fillId="25" borderId="0"/>
    <xf numFmtId="0" fontId="21" fillId="26" borderId="0"/>
    <xf numFmtId="0" fontId="21" fillId="3" borderId="0"/>
    <xf numFmtId="0" fontId="25" fillId="27" borderId="0"/>
    <xf numFmtId="0" fontId="25" fillId="28" borderId="0"/>
    <xf numFmtId="0" fontId="21" fillId="29" borderId="0"/>
    <xf numFmtId="0" fontId="21" fillId="6" borderId="0"/>
    <xf numFmtId="0" fontId="25" fillId="30" borderId="0"/>
    <xf numFmtId="0" fontId="25" fillId="31" borderId="0"/>
    <xf numFmtId="0" fontId="21" fillId="8" borderId="0"/>
    <xf numFmtId="0" fontId="21" fillId="32" borderId="0"/>
    <xf numFmtId="0" fontId="25" fillId="33" borderId="0"/>
    <xf numFmtId="0" fontId="25" fillId="34" borderId="0"/>
    <xf numFmtId="0" fontId="21" fillId="35" borderId="0"/>
    <xf numFmtId="0" fontId="21" fillId="36" borderId="0"/>
    <xf numFmtId="0" fontId="25" fillId="9" borderId="0"/>
    <xf numFmtId="0" fontId="22" fillId="0" borderId="0"/>
    <xf numFmtId="0" fontId="22" fillId="0" borderId="0"/>
    <xf numFmtId="0" fontId="21" fillId="0" borderId="0"/>
    <xf numFmtId="0" fontId="14" fillId="0" borderId="0"/>
    <xf numFmtId="0" fontId="21" fillId="0" borderId="0" applyFill="0" applyProtection="0"/>
  </cellStyleXfs>
  <cellXfs count="220"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  <xf numFmtId="1" fontId="0" fillId="0" borderId="0" xfId="0" applyNumberFormat="1"/>
    <xf numFmtId="9" fontId="0" fillId="0" borderId="0" xfId="0" applyNumberFormat="1"/>
    <xf numFmtId="9" fontId="1" fillId="0" borderId="0" xfId="0" applyNumberFormat="1" applyFont="1"/>
    <xf numFmtId="164" fontId="0" fillId="0" borderId="0" xfId="1" applyFont="1" applyFill="1"/>
    <xf numFmtId="164" fontId="0" fillId="0" borderId="0" xfId="0" applyNumberFormat="1"/>
    <xf numFmtId="167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2" xfId="0" applyFont="1" applyBorder="1"/>
    <xf numFmtId="0" fontId="1" fillId="0" borderId="3" xfId="0" applyFont="1" applyBorder="1"/>
    <xf numFmtId="9" fontId="0" fillId="0" borderId="6" xfId="0" applyNumberFormat="1" applyBorder="1"/>
    <xf numFmtId="9" fontId="4" fillId="0" borderId="0" xfId="0" applyNumberFormat="1" applyFont="1"/>
    <xf numFmtId="0" fontId="4" fillId="0" borderId="0" xfId="0" applyFont="1"/>
    <xf numFmtId="0" fontId="3" fillId="0" borderId="0" xfId="0" applyFont="1"/>
    <xf numFmtId="0" fontId="0" fillId="3" borderId="8" xfId="0" applyFill="1" applyBorder="1"/>
    <xf numFmtId="0" fontId="0" fillId="3" borderId="9" xfId="0" applyFill="1" applyBorder="1"/>
    <xf numFmtId="9" fontId="0" fillId="3" borderId="9" xfId="0" applyNumberFormat="1" applyFill="1" applyBorder="1"/>
    <xf numFmtId="168" fontId="0" fillId="0" borderId="0" xfId="0" applyNumberFormat="1"/>
    <xf numFmtId="0" fontId="0" fillId="5" borderId="0" xfId="0" applyFill="1"/>
    <xf numFmtId="4" fontId="0" fillId="0" borderId="0" xfId="0" applyNumberFormat="1"/>
    <xf numFmtId="0" fontId="0" fillId="0" borderId="0" xfId="0" applyAlignment="1">
      <alignment horizontal="lef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/>
    <xf numFmtId="2" fontId="6" fillId="0" borderId="0" xfId="0" applyNumberFormat="1" applyFont="1"/>
    <xf numFmtId="0" fontId="7" fillId="0" borderId="0" xfId="0" applyFont="1"/>
    <xf numFmtId="2" fontId="8" fillId="0" borderId="0" xfId="0" applyNumberFormat="1" applyFont="1" applyAlignment="1">
      <alignment horizontal="left"/>
    </xf>
    <xf numFmtId="0" fontId="9" fillId="4" borderId="10" xfId="2" applyFont="1" applyBorder="1"/>
    <xf numFmtId="0" fontId="9" fillId="4" borderId="0" xfId="2" applyFont="1"/>
    <xf numFmtId="3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8" borderId="0" xfId="0" applyFill="1"/>
    <xf numFmtId="164" fontId="0" fillId="0" borderId="0" xfId="1" applyFont="1"/>
    <xf numFmtId="2" fontId="0" fillId="2" borderId="0" xfId="0" applyNumberFormat="1" applyFill="1"/>
    <xf numFmtId="169" fontId="10" fillId="0" borderId="0" xfId="0" applyNumberFormat="1" applyFont="1"/>
    <xf numFmtId="165" fontId="10" fillId="0" borderId="0" xfId="0" applyNumberFormat="1" applyFont="1"/>
    <xf numFmtId="165" fontId="11" fillId="0" borderId="0" xfId="0" applyNumberFormat="1" applyFont="1"/>
    <xf numFmtId="167" fontId="0" fillId="0" borderId="0" xfId="1" applyNumberFormat="1" applyFont="1"/>
    <xf numFmtId="0" fontId="0" fillId="2" borderId="0" xfId="0" applyFill="1"/>
    <xf numFmtId="2" fontId="0" fillId="0" borderId="0" xfId="0" applyNumberFormat="1"/>
    <xf numFmtId="167" fontId="1" fillId="0" borderId="0" xfId="0" applyNumberFormat="1" applyFont="1"/>
    <xf numFmtId="2" fontId="1" fillId="0" borderId="0" xfId="0" applyNumberFormat="1" applyFont="1"/>
    <xf numFmtId="168" fontId="0" fillId="0" borderId="0" xfId="3" applyNumberFormat="1" applyFont="1"/>
    <xf numFmtId="0" fontId="1" fillId="0" borderId="0" xfId="0" applyFont="1" applyAlignment="1">
      <alignment wrapText="1"/>
    </xf>
    <xf numFmtId="10" fontId="0" fillId="0" borderId="0" xfId="0" applyNumberFormat="1"/>
    <xf numFmtId="0" fontId="1" fillId="9" borderId="0" xfId="0" applyFont="1" applyFill="1"/>
    <xf numFmtId="165" fontId="1" fillId="0" borderId="0" xfId="0" applyNumberFormat="1" applyFont="1"/>
    <xf numFmtId="170" fontId="0" fillId="0" borderId="0" xfId="0" applyNumberFormat="1"/>
    <xf numFmtId="166" fontId="0" fillId="0" borderId="0" xfId="0" applyNumberFormat="1"/>
    <xf numFmtId="0" fontId="4" fillId="0" borderId="11" xfId="0" applyFont="1" applyBorder="1"/>
    <xf numFmtId="167" fontId="4" fillId="0" borderId="12" xfId="0" applyNumberFormat="1" applyFont="1" applyBorder="1"/>
    <xf numFmtId="0" fontId="0" fillId="0" borderId="11" xfId="0" applyBorder="1"/>
    <xf numFmtId="167" fontId="0" fillId="0" borderId="12" xfId="0" applyNumberFormat="1" applyBorder="1"/>
    <xf numFmtId="0" fontId="0" fillId="0" borderId="12" xfId="0" applyBorder="1"/>
    <xf numFmtId="167" fontId="0" fillId="0" borderId="7" xfId="0" applyNumberFormat="1" applyBorder="1"/>
    <xf numFmtId="0" fontId="3" fillId="2" borderId="2" xfId="0" applyFont="1" applyFill="1" applyBorder="1"/>
    <xf numFmtId="0" fontId="4" fillId="2" borderId="4" xfId="0" applyFont="1" applyFill="1" applyBorder="1"/>
    <xf numFmtId="0" fontId="0" fillId="0" borderId="2" xfId="0" applyBorder="1"/>
    <xf numFmtId="0" fontId="4" fillId="0" borderId="4" xfId="0" applyFont="1" applyBorder="1"/>
    <xf numFmtId="9" fontId="0" fillId="0" borderId="12" xfId="0" applyNumberFormat="1" applyBorder="1"/>
    <xf numFmtId="171" fontId="0" fillId="0" borderId="0" xfId="0" applyNumberFormat="1"/>
    <xf numFmtId="9" fontId="0" fillId="2" borderId="0" xfId="0" applyNumberFormat="1" applyFill="1"/>
    <xf numFmtId="172" fontId="0" fillId="0" borderId="0" xfId="0" applyNumberFormat="1"/>
    <xf numFmtId="9" fontId="0" fillId="2" borderId="5" xfId="0" applyNumberFormat="1" applyFill="1" applyBorder="1"/>
    <xf numFmtId="9" fontId="0" fillId="2" borderId="6" xfId="0" applyNumberFormat="1" applyFill="1" applyBorder="1"/>
    <xf numFmtId="9" fontId="0" fillId="2" borderId="7" xfId="0" applyNumberFormat="1" applyFill="1" applyBorder="1"/>
    <xf numFmtId="0" fontId="0" fillId="0" borderId="0" xfId="0" applyAlignment="1">
      <alignment wrapText="1"/>
    </xf>
    <xf numFmtId="0" fontId="10" fillId="0" borderId="0" xfId="0" applyFont="1"/>
    <xf numFmtId="9" fontId="0" fillId="0" borderId="0" xfId="3" applyFont="1"/>
    <xf numFmtId="10" fontId="0" fillId="0" borderId="0" xfId="3" applyNumberFormat="1" applyFont="1"/>
    <xf numFmtId="0" fontId="0" fillId="5" borderId="0" xfId="0" applyFill="1" applyAlignment="1">
      <alignment wrapText="1"/>
    </xf>
    <xf numFmtId="10" fontId="0" fillId="5" borderId="0" xfId="3" applyNumberFormat="1" applyFont="1" applyFill="1" applyAlignment="1">
      <alignment wrapText="1"/>
    </xf>
    <xf numFmtId="0" fontId="0" fillId="0" borderId="16" xfId="0" applyBorder="1"/>
    <xf numFmtId="0" fontId="0" fillId="0" borderId="15" xfId="0" applyBorder="1"/>
    <xf numFmtId="0" fontId="0" fillId="0" borderId="21" xfId="0" applyBorder="1"/>
    <xf numFmtId="0" fontId="0" fillId="0" borderId="19" xfId="0" applyBorder="1"/>
    <xf numFmtId="0" fontId="21" fillId="0" borderId="0" xfId="4"/>
    <xf numFmtId="0" fontId="19" fillId="0" borderId="0" xfId="4" applyFont="1"/>
    <xf numFmtId="0" fontId="15" fillId="0" borderId="0" xfId="50" applyFont="1"/>
    <xf numFmtId="3" fontId="21" fillId="0" borderId="0" xfId="4" applyNumberFormat="1"/>
    <xf numFmtId="0" fontId="16" fillId="0" borderId="0" xfId="4" applyFont="1"/>
    <xf numFmtId="1" fontId="21" fillId="0" borderId="0" xfId="4" applyNumberFormat="1" applyAlignment="1">
      <alignment horizontal="right"/>
    </xf>
    <xf numFmtId="1" fontId="18" fillId="11" borderId="1" xfId="4" applyNumberFormat="1" applyFont="1" applyFill="1" applyBorder="1" applyAlignment="1">
      <alignment horizontal="left" vertical="center"/>
    </xf>
    <xf numFmtId="1" fontId="18" fillId="11" borderId="1" xfId="4" applyNumberFormat="1" applyFont="1" applyFill="1" applyBorder="1" applyAlignment="1">
      <alignment horizontal="right" vertical="center"/>
    </xf>
    <xf numFmtId="1" fontId="18" fillId="11" borderId="20" xfId="4" applyNumberFormat="1" applyFont="1" applyFill="1" applyBorder="1" applyAlignment="1">
      <alignment horizontal="right" vertical="center"/>
    </xf>
    <xf numFmtId="165" fontId="19" fillId="0" borderId="21" xfId="4" applyNumberFormat="1" applyFont="1" applyBorder="1"/>
    <xf numFmtId="165" fontId="19" fillId="0" borderId="0" xfId="4" applyNumberFormat="1" applyFont="1"/>
    <xf numFmtId="165" fontId="19" fillId="0" borderId="22" xfId="4" applyNumberFormat="1" applyFont="1" applyBorder="1"/>
    <xf numFmtId="0" fontId="18" fillId="0" borderId="0" xfId="4" applyFont="1"/>
    <xf numFmtId="0" fontId="19" fillId="0" borderId="0" xfId="4" applyFont="1" applyAlignment="1">
      <alignment horizontal="center"/>
    </xf>
    <xf numFmtId="0" fontId="19" fillId="0" borderId="22" xfId="4" applyFont="1" applyBorder="1" applyAlignment="1">
      <alignment horizontal="center"/>
    </xf>
    <xf numFmtId="3" fontId="19" fillId="0" borderId="0" xfId="4" applyNumberFormat="1" applyFont="1"/>
    <xf numFmtId="0" fontId="18" fillId="11" borderId="24" xfId="4" applyFont="1" applyFill="1" applyBorder="1" applyAlignment="1">
      <alignment horizontal="center" vertical="center" wrapText="1"/>
    </xf>
    <xf numFmtId="0" fontId="18" fillId="11" borderId="26" xfId="4" applyFont="1" applyFill="1" applyBorder="1" applyAlignment="1">
      <alignment horizontal="center" vertical="center" wrapText="1"/>
    </xf>
    <xf numFmtId="0" fontId="18" fillId="11" borderId="25" xfId="4" applyFont="1" applyFill="1" applyBorder="1" applyAlignment="1">
      <alignment horizontal="center" vertical="center" wrapText="1"/>
    </xf>
    <xf numFmtId="0" fontId="18" fillId="0" borderId="0" xfId="4" applyFont="1" applyAlignment="1">
      <alignment horizontal="center" vertical="center" wrapText="1"/>
    </xf>
    <xf numFmtId="3" fontId="20" fillId="0" borderId="0" xfId="4" applyNumberFormat="1" applyFont="1" applyAlignment="1">
      <alignment horizontal="center"/>
    </xf>
    <xf numFmtId="165" fontId="19" fillId="0" borderId="0" xfId="4" applyNumberFormat="1" applyFont="1" applyAlignment="1">
      <alignment horizontal="center"/>
    </xf>
    <xf numFmtId="0" fontId="21" fillId="10" borderId="0" xfId="50" applyFont="1" applyFill="1" applyAlignment="1">
      <alignment vertical="center"/>
    </xf>
    <xf numFmtId="0" fontId="18" fillId="0" borderId="21" xfId="4" applyFont="1" applyBorder="1" applyAlignment="1">
      <alignment horizontal="center"/>
    </xf>
    <xf numFmtId="0" fontId="18" fillId="11" borderId="19" xfId="4" applyFont="1" applyFill="1" applyBorder="1" applyAlignment="1">
      <alignment horizontal="right" vertical="center"/>
    </xf>
    <xf numFmtId="0" fontId="18" fillId="11" borderId="1" xfId="4" applyFont="1" applyFill="1" applyBorder="1" applyAlignment="1">
      <alignment horizontal="right" vertical="center"/>
    </xf>
    <xf numFmtId="0" fontId="18" fillId="11" borderId="20" xfId="4" applyFont="1" applyFill="1" applyBorder="1" applyAlignment="1">
      <alignment horizontal="right" vertical="center"/>
    </xf>
    <xf numFmtId="0" fontId="20" fillId="0" borderId="21" xfId="4" applyFont="1" applyBorder="1" applyAlignment="1">
      <alignment horizontal="center"/>
    </xf>
    <xf numFmtId="0" fontId="19" fillId="0" borderId="21" xfId="4" applyFont="1" applyBorder="1"/>
    <xf numFmtId="1" fontId="18" fillId="11" borderId="19" xfId="4" applyNumberFormat="1" applyFont="1" applyFill="1" applyBorder="1" applyAlignment="1">
      <alignment horizontal="right" vertical="center"/>
    </xf>
    <xf numFmtId="0" fontId="21" fillId="13" borderId="13" xfId="20"/>
    <xf numFmtId="164" fontId="0" fillId="0" borderId="0" xfId="1" applyFont="1" applyBorder="1"/>
    <xf numFmtId="0" fontId="38" fillId="0" borderId="0" xfId="5" applyFont="1"/>
    <xf numFmtId="0" fontId="38" fillId="0" borderId="0" xfId="5" applyFont="1" applyAlignment="1">
      <alignment horizontal="left"/>
    </xf>
    <xf numFmtId="0" fontId="39" fillId="0" borderId="0" xfId="0" applyFont="1"/>
    <xf numFmtId="0" fontId="13" fillId="0" borderId="0" xfId="0" applyFont="1"/>
    <xf numFmtId="0" fontId="40" fillId="0" borderId="0" xfId="0" applyFont="1" applyAlignment="1">
      <alignment wrapText="1"/>
    </xf>
    <xf numFmtId="14" fontId="41" fillId="0" borderId="0" xfId="0" applyNumberFormat="1" applyFont="1"/>
    <xf numFmtId="0" fontId="13" fillId="0" borderId="0" xfId="0" applyFont="1" applyAlignment="1">
      <alignment wrapText="1"/>
    </xf>
    <xf numFmtId="0" fontId="13" fillId="0" borderId="4" xfId="0" applyFont="1" applyBorder="1"/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0" fontId="13" fillId="0" borderId="0" xfId="0" applyNumberFormat="1" applyFont="1"/>
    <xf numFmtId="165" fontId="0" fillId="0" borderId="14" xfId="0" applyNumberFormat="1" applyBorder="1" applyAlignment="1">
      <alignment horizontal="center" vertical="center"/>
    </xf>
    <xf numFmtId="165" fontId="0" fillId="0" borderId="16" xfId="0" applyNumberFormat="1" applyBorder="1" applyAlignment="1">
      <alignment horizontal="center" vertical="center"/>
    </xf>
    <xf numFmtId="165" fontId="0" fillId="0" borderId="15" xfId="0" applyNumberFormat="1" applyBorder="1" applyAlignment="1">
      <alignment horizontal="center" vertical="center"/>
    </xf>
    <xf numFmtId="165" fontId="0" fillId="0" borderId="22" xfId="0" applyNumberFormat="1" applyBorder="1" applyAlignment="1">
      <alignment horizontal="center" vertical="center"/>
    </xf>
    <xf numFmtId="165" fontId="0" fillId="0" borderId="20" xfId="0" applyNumberFormat="1" applyBorder="1" applyAlignment="1">
      <alignment horizontal="center" vertical="center"/>
    </xf>
    <xf numFmtId="9" fontId="0" fillId="0" borderId="4" xfId="0" applyNumberFormat="1" applyBorder="1"/>
    <xf numFmtId="9" fontId="0" fillId="0" borderId="12" xfId="3" applyFont="1" applyBorder="1"/>
    <xf numFmtId="0" fontId="0" fillId="0" borderId="2" xfId="0" applyBorder="1" applyAlignment="1">
      <alignment horizontal="left"/>
    </xf>
    <xf numFmtId="9" fontId="0" fillId="0" borderId="4" xfId="0" applyNumberForma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9" fontId="0" fillId="0" borderId="12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10" fontId="0" fillId="0" borderId="0" xfId="3" applyNumberFormat="1" applyFont="1" applyBorder="1"/>
    <xf numFmtId="10" fontId="0" fillId="0" borderId="6" xfId="3" applyNumberFormat="1" applyFont="1" applyBorder="1"/>
    <xf numFmtId="2" fontId="0" fillId="0" borderId="6" xfId="0" applyNumberFormat="1" applyBorder="1"/>
    <xf numFmtId="0" fontId="13" fillId="37" borderId="2" xfId="0" applyFont="1" applyFill="1" applyBorder="1"/>
    <xf numFmtId="0" fontId="13" fillId="37" borderId="3" xfId="0" applyFont="1" applyFill="1" applyBorder="1"/>
    <xf numFmtId="164" fontId="10" fillId="0" borderId="0" xfId="1" applyFont="1" applyFill="1" applyBorder="1" applyAlignment="1"/>
    <xf numFmtId="173" fontId="0" fillId="0" borderId="0" xfId="0" applyNumberFormat="1"/>
    <xf numFmtId="164" fontId="1" fillId="0" borderId="0" xfId="1" applyFont="1" applyFill="1"/>
    <xf numFmtId="164" fontId="1" fillId="0" borderId="0" xfId="1" applyFont="1"/>
    <xf numFmtId="169" fontId="11" fillId="0" borderId="0" xfId="0" applyNumberFormat="1" applyFont="1"/>
    <xf numFmtId="167" fontId="1" fillId="0" borderId="0" xfId="1" applyNumberFormat="1" applyFont="1"/>
    <xf numFmtId="174" fontId="0" fillId="0" borderId="0" xfId="0" applyNumberFormat="1"/>
    <xf numFmtId="0" fontId="0" fillId="0" borderId="31" xfId="0" applyBorder="1"/>
    <xf numFmtId="0" fontId="40" fillId="0" borderId="0" xfId="0" applyFont="1"/>
    <xf numFmtId="173" fontId="40" fillId="0" borderId="0" xfId="0" applyNumberFormat="1" applyFont="1"/>
    <xf numFmtId="9" fontId="0" fillId="0" borderId="7" xfId="3" applyFont="1" applyBorder="1"/>
    <xf numFmtId="0" fontId="0" fillId="0" borderId="32" xfId="0" applyBorder="1"/>
    <xf numFmtId="173" fontId="0" fillId="2" borderId="0" xfId="0" applyNumberFormat="1" applyFill="1"/>
    <xf numFmtId="0" fontId="13" fillId="37" borderId="31" xfId="0" applyFont="1" applyFill="1" applyBorder="1"/>
    <xf numFmtId="10" fontId="0" fillId="0" borderId="33" xfId="3" applyNumberFormat="1" applyFont="1" applyBorder="1"/>
    <xf numFmtId="10" fontId="0" fillId="0" borderId="32" xfId="3" applyNumberFormat="1" applyFont="1" applyBorder="1"/>
    <xf numFmtId="0" fontId="13" fillId="0" borderId="2" xfId="0" applyFont="1" applyBorder="1"/>
    <xf numFmtId="9" fontId="0" fillId="0" borderId="7" xfId="0" applyNumberFormat="1" applyBorder="1"/>
    <xf numFmtId="0" fontId="1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22" xfId="3" applyFont="1" applyBorder="1" applyAlignment="1">
      <alignment horizontal="center" vertical="center"/>
    </xf>
    <xf numFmtId="9" fontId="0" fillId="0" borderId="20" xfId="3" applyFont="1" applyBorder="1" applyAlignment="1">
      <alignment horizontal="center" vertical="center"/>
    </xf>
    <xf numFmtId="10" fontId="0" fillId="0" borderId="3" xfId="3" applyNumberFormat="1" applyFont="1" applyBorder="1"/>
    <xf numFmtId="2" fontId="0" fillId="0" borderId="3" xfId="0" applyNumberFormat="1" applyBorder="1"/>
    <xf numFmtId="10" fontId="0" fillId="0" borderId="31" xfId="3" applyNumberFormat="1" applyFont="1" applyBorder="1"/>
    <xf numFmtId="10" fontId="13" fillId="0" borderId="0" xfId="3" applyNumberFormat="1" applyFont="1"/>
    <xf numFmtId="167" fontId="0" fillId="0" borderId="4" xfId="0" applyNumberFormat="1" applyBorder="1"/>
    <xf numFmtId="0" fontId="13" fillId="0" borderId="16" xfId="0" applyFont="1" applyBorder="1" applyAlignment="1">
      <alignment horizontal="center" vertical="center" wrapText="1"/>
    </xf>
    <xf numFmtId="0" fontId="13" fillId="0" borderId="21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14" fontId="42" fillId="0" borderId="4" xfId="0" applyNumberFormat="1" applyFont="1" applyBorder="1"/>
    <xf numFmtId="14" fontId="42" fillId="0" borderId="7" xfId="0" applyNumberFormat="1" applyFont="1" applyBorder="1"/>
    <xf numFmtId="0" fontId="13" fillId="0" borderId="14" xfId="0" applyFont="1" applyBorder="1" applyAlignment="1">
      <alignment horizontal="center" vertical="center"/>
    </xf>
    <xf numFmtId="9" fontId="0" fillId="2" borderId="12" xfId="0" applyNumberFormat="1" applyFill="1" applyBorder="1"/>
    <xf numFmtId="9" fontId="0" fillId="2" borderId="4" xfId="0" applyNumberFormat="1" applyFill="1" applyBorder="1"/>
    <xf numFmtId="9" fontId="1" fillId="2" borderId="0" xfId="0" applyNumberFormat="1" applyFont="1" applyFill="1"/>
    <xf numFmtId="0" fontId="1" fillId="0" borderId="4" xfId="0" applyFont="1" applyBorder="1"/>
    <xf numFmtId="0" fontId="1" fillId="0" borderId="11" xfId="0" applyFont="1" applyBorder="1"/>
    <xf numFmtId="9" fontId="1" fillId="2" borderId="12" xfId="0" applyNumberFormat="1" applyFont="1" applyFill="1" applyBorder="1"/>
    <xf numFmtId="0" fontId="3" fillId="0" borderId="5" xfId="0" applyFont="1" applyBorder="1"/>
    <xf numFmtId="9" fontId="4" fillId="0" borderId="6" xfId="0" applyNumberFormat="1" applyFont="1" applyBorder="1"/>
    <xf numFmtId="9" fontId="4" fillId="0" borderId="7" xfId="0" applyNumberFormat="1" applyFont="1" applyBorder="1"/>
    <xf numFmtId="166" fontId="0" fillId="0" borderId="3" xfId="0" applyNumberFormat="1" applyBorder="1"/>
    <xf numFmtId="9" fontId="0" fillId="0" borderId="3" xfId="0" applyNumberFormat="1" applyBorder="1"/>
    <xf numFmtId="167" fontId="4" fillId="0" borderId="7" xfId="0" applyNumberFormat="1" applyFont="1" applyBorder="1"/>
    <xf numFmtId="0" fontId="0" fillId="36" borderId="0" xfId="0" applyFill="1"/>
    <xf numFmtId="1" fontId="0" fillId="36" borderId="0" xfId="0" applyNumberFormat="1" applyFill="1"/>
    <xf numFmtId="0" fontId="13" fillId="0" borderId="14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3" fontId="20" fillId="0" borderId="0" xfId="4" applyNumberFormat="1" applyFont="1" applyAlignment="1">
      <alignment horizontal="center"/>
    </xf>
    <xf numFmtId="0" fontId="18" fillId="0" borderId="17" xfId="4" applyFont="1" applyBorder="1" applyAlignment="1">
      <alignment horizontal="center" vertical="center"/>
    </xf>
    <xf numFmtId="0" fontId="18" fillId="0" borderId="23" xfId="4" applyFont="1" applyBorder="1" applyAlignment="1">
      <alignment horizontal="center" vertical="center"/>
    </xf>
    <xf numFmtId="0" fontId="18" fillId="0" borderId="18" xfId="4" applyFont="1" applyBorder="1" applyAlignment="1">
      <alignment horizontal="center" vertical="center"/>
    </xf>
  </cellXfs>
  <cellStyles count="52">
    <cellStyle name="20% - Accent1 2" xfId="24" xr:uid="{6BF567C9-3E19-4630-AF0A-0733C7BFCE04}"/>
    <cellStyle name="20% - Accent2 2" xfId="28" xr:uid="{5F0600A4-5BB4-497F-9807-6F9D2A2A3D3D}"/>
    <cellStyle name="20% - Accent3 2" xfId="32" xr:uid="{DBF42285-B623-4F8B-BA82-E5910643416B}"/>
    <cellStyle name="20% - Accent4 2" xfId="36" xr:uid="{4DCDC153-26D1-4002-8E2D-81916D625F7E}"/>
    <cellStyle name="20% - Accent5 2" xfId="40" xr:uid="{8DAB878B-1406-49CB-A825-4A720222E27A}"/>
    <cellStyle name="20% - Accent6 2" xfId="44" xr:uid="{D7129595-6E29-4C9E-8A40-CB20ED27F2A1}"/>
    <cellStyle name="40% - Accent1 2" xfId="25" xr:uid="{EE5EFDA3-DAFB-44BD-9F41-B55E770AE017}"/>
    <cellStyle name="40% - Accent2 2" xfId="29" xr:uid="{E60B08D7-FCFC-4B75-949E-53F991A87A95}"/>
    <cellStyle name="40% - Accent3 2" xfId="33" xr:uid="{B55CEAC8-3FFC-42A0-9906-73D0C544EB86}"/>
    <cellStyle name="40% - Accent4 2" xfId="37" xr:uid="{59C4DF45-BCD5-46B6-8F9E-6EDD2098F372}"/>
    <cellStyle name="40% - Accent5 2" xfId="41" xr:uid="{B4421AFC-A7D7-4211-8102-F52CAE046248}"/>
    <cellStyle name="40% - Accent6 2" xfId="45" xr:uid="{4375B196-4796-4AEE-B670-08CF84FDA4DE}"/>
    <cellStyle name="60% - Accent1 2" xfId="26" xr:uid="{5AA6FCB0-CD17-4C34-8429-EDB769B7872A}"/>
    <cellStyle name="60% - Accent2 2" xfId="30" xr:uid="{725B5829-70DC-47F8-94AF-24E67FFE08A6}"/>
    <cellStyle name="60% - Accent3 2" xfId="34" xr:uid="{78968431-9ED7-4764-B0A6-174D90961FDE}"/>
    <cellStyle name="60% - Accent4 2" xfId="38" xr:uid="{2CDE5411-0817-42C7-9BE8-A3F5850D4E7C}"/>
    <cellStyle name="60% - Accent5 2" xfId="42" xr:uid="{AA76549F-F357-40F6-A8A0-F4D9C90E33C5}"/>
    <cellStyle name="60% - Accent6 2" xfId="46" xr:uid="{B834F776-29E6-442B-B2A4-13E499B88243}"/>
    <cellStyle name="Accent1 2" xfId="23" xr:uid="{E31E200E-E4F1-40BC-A964-614943D67F5F}"/>
    <cellStyle name="Accent2 2" xfId="27" xr:uid="{14CB3ABC-1D87-42A7-8EC9-22951DAB35B7}"/>
    <cellStyle name="Accent3 2" xfId="31" xr:uid="{FC8DFCD8-A5C1-453C-A832-7C7EEC8D3A45}"/>
    <cellStyle name="Accent4 2" xfId="35" xr:uid="{C984AEFA-60ED-4827-A0A8-CF53BC33DB1C}"/>
    <cellStyle name="Accent5 2" xfId="39" xr:uid="{C4C081E2-30E4-4FE8-9241-47C9A7D4F425}"/>
    <cellStyle name="Accent6 2" xfId="43" xr:uid="{ACBE0022-0325-4427-B342-7D198FC24C57}"/>
    <cellStyle name="Bad 2" xfId="12" xr:uid="{34FA6DDA-7C4A-4AAF-B54F-AC61B9198874}"/>
    <cellStyle name="Calculation 2" xfId="16" xr:uid="{4C103943-B964-476F-8DED-2CBBE8FF5AB3}"/>
    <cellStyle name="Check Cell 2" xfId="18" xr:uid="{A5B4E367-727F-4FF5-97CD-0B2AC393E0AC}"/>
    <cellStyle name="Comma" xfId="1" builtinId="3"/>
    <cellStyle name="Explanatory Text 2" xfId="21" xr:uid="{CA4E047B-78A0-4149-B455-DA7DEC1140AC}"/>
    <cellStyle name="Good" xfId="2" builtinId="26"/>
    <cellStyle name="Good 2" xfId="11" xr:uid="{ACD8C754-FD4D-4B70-9E33-7A7C7FD8649E}"/>
    <cellStyle name="Heading 1 2" xfId="7" xr:uid="{173B1166-3921-420C-8765-28E946828845}"/>
    <cellStyle name="Heading 2 2" xfId="8" xr:uid="{E323F497-5728-45A9-A83B-E5FFBE5F3B8D}"/>
    <cellStyle name="Heading 3 2" xfId="9" xr:uid="{842A6238-2186-496C-BA5F-D924F4DD879D}"/>
    <cellStyle name="Heading 4 2" xfId="10" xr:uid="{0E8A40DF-39D7-4BCE-B781-19E0C27BDDB5}"/>
    <cellStyle name="Hyperlink 2" xfId="50" xr:uid="{585E602A-854D-40CA-B45C-D7EC796A3C12}"/>
    <cellStyle name="Input 2" xfId="14" xr:uid="{9FB5D653-92B2-447E-A9C5-44E81D71809B}"/>
    <cellStyle name="Linked Cell 2" xfId="17" xr:uid="{4DC9DA3A-47A9-4697-9B4B-E2759465A1FF}"/>
    <cellStyle name="Neutral 2" xfId="13" xr:uid="{86A8DAC4-4E23-4DC3-8FAD-3DAEBC1B653E}"/>
    <cellStyle name="Normal" xfId="0" builtinId="0"/>
    <cellStyle name="Normal 2" xfId="5" xr:uid="{1B6474D5-B1FB-4CF3-894C-9CA566BA18CC}"/>
    <cellStyle name="Normal 2 2" xfId="47" xr:uid="{2D7C4D45-C813-4CC8-9258-BED30AB3C215}"/>
    <cellStyle name="Normal 2 2 2" xfId="48" xr:uid="{2C1E2A28-1B42-41ED-B6CB-85F988B9763D}"/>
    <cellStyle name="Normal 3" xfId="49" xr:uid="{D60CEBFB-F3B0-497F-A27B-E0BA49DFEF7C}"/>
    <cellStyle name="Normal 4" xfId="4" xr:uid="{958436DA-23C3-4F88-95CD-360D4C51F944}"/>
    <cellStyle name="Normal 5" xfId="51" xr:uid="{7B936215-C9A4-44ED-9EFF-D9C25E5F21B0}"/>
    <cellStyle name="Note 2" xfId="20" xr:uid="{DA5BF5B2-5940-424E-85C9-00F9C2454F44}"/>
    <cellStyle name="Output 2" xfId="15" xr:uid="{482649A2-BB86-4C01-9ED9-51DFAD926240}"/>
    <cellStyle name="Percent" xfId="3" builtinId="5"/>
    <cellStyle name="Title 2" xfId="6" xr:uid="{FB6D4149-6ABD-4DB4-95B3-0D1495DBAFEF}"/>
    <cellStyle name="Total 2" xfId="22" xr:uid="{AA230248-B9E2-4D03-991C-F308A812F75F}"/>
    <cellStyle name="Warning Text 2" xfId="19" xr:uid="{DCD35606-1851-419A-A761-DC327BEC07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5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4.xml"/><Relationship Id="rId33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3.xml"/><Relationship Id="rId32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hartsheet" Target="chartsheets/sheet1.xml"/><Relationship Id="rId28" Type="http://schemas.openxmlformats.org/officeDocument/2006/relationships/worksheet" Target="worksheets/sheet27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6.xml"/><Relationship Id="rId30" Type="http://schemas.openxmlformats.org/officeDocument/2006/relationships/styles" Target="styles.xml"/><Relationship Id="rId35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mit Bhartia" id="{73387293-B317-4518-8BFD-06DD7862F882}" userId="685f778331df612a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P3" dT="2023-03-07T03:52:57.25" personId="{73387293-B317-4518-8BFD-06DD7862F882}" id="{0195B492-FC6C-4B70-985C-FD0A6858133E}">
    <text xml:space="preserve">High is good 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dev.worldeconomics.com/Concepts/World-Economics-GDP-Database/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hyperlink" Target="mailto:NTCPMIINDEXSA@SA" TargetMode="External"/><Relationship Id="rId1" Type="http://schemas.openxmlformats.org/officeDocument/2006/relationships/hyperlink" Target="mailto:PMIMFGSA@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workbookViewId="0"/>
  </sheetViews>
  <sheetFormatPr defaultRowHeight="14.5" x14ac:dyDescent="0.35"/>
  <sheetData>
    <row r="1" spans="1:2" x14ac:dyDescent="0.35">
      <c r="B1" t="s">
        <v>13</v>
      </c>
    </row>
    <row r="2" spans="1:2" x14ac:dyDescent="0.35"/>
    <row r="3" spans="1:2" x14ac:dyDescent="0.35"/>
    <row r="4" spans="1:2" x14ac:dyDescent="0.35"/>
    <row r="5" spans="1:2" x14ac:dyDescent="0.35"/>
    <row r="6" spans="1:2" x14ac:dyDescent="0.35"/>
    <row r="7" spans="1:2" x14ac:dyDescent="0.35"/>
    <row r="8" spans="1:2" x14ac:dyDescent="0.35"/>
    <row r="9" spans="1:2" x14ac:dyDescent="0.35"/>
    <row r="10" spans="1:2" x14ac:dyDescent="0.35"/>
    <row r="11" spans="1:2" x14ac:dyDescent="0.35"/>
    <row r="12" spans="1:2" x14ac:dyDescent="0.35"/>
    <row r="13" spans="1:2" x14ac:dyDescent="0.35"/>
    <row r="14" spans="1:2" x14ac:dyDescent="0.35"/>
    <row r="15" spans="1:2" x14ac:dyDescent="0.35"/>
    <row r="16" spans="1:2" x14ac:dyDescent="0.35"/>
    <row r="17" spans="1:1" x14ac:dyDescent="0.35"/>
    <row r="18" spans="1:1" x14ac:dyDescent="0.35"/>
    <row r="19" spans="1:1" x14ac:dyDescent="0.35"/>
    <row r="20" spans="1:1" x14ac:dyDescent="0.35"/>
    <row r="21" spans="1:1" x14ac:dyDescent="0.35"/>
    <row r="22" spans="1:1" x14ac:dyDescent="0.35"/>
    <row r="23" spans="1:1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8:V86"/>
  <sheetViews>
    <sheetView topLeftCell="A16" zoomScaleNormal="100" workbookViewId="0">
      <selection activeCell="D22" sqref="D22:F24"/>
    </sheetView>
  </sheetViews>
  <sheetFormatPr defaultRowHeight="14.5" x14ac:dyDescent="0.35"/>
  <cols>
    <col min="3" max="3" width="18.54296875" customWidth="1"/>
    <col min="4" max="4" width="26.81640625" customWidth="1"/>
    <col min="5" max="5" width="21" customWidth="1"/>
    <col min="6" max="6" width="18.81640625" customWidth="1"/>
    <col min="7" max="7" width="24.453125" customWidth="1"/>
    <col min="8" max="8" width="22.453125" customWidth="1"/>
    <col min="9" max="9" width="19.453125" customWidth="1"/>
    <col min="10" max="10" width="24.453125" customWidth="1"/>
    <col min="11" max="11" width="16.453125" customWidth="1"/>
    <col min="13" max="13" width="21.54296875" customWidth="1"/>
    <col min="14" max="14" width="12" customWidth="1"/>
    <col min="15" max="15" width="13.453125" customWidth="1"/>
    <col min="19" max="19" width="20.453125" bestFit="1" customWidth="1"/>
    <col min="22" max="22" width="11.453125" customWidth="1"/>
  </cols>
  <sheetData>
    <row r="8" spans="3:19" x14ac:dyDescent="0.35">
      <c r="C8" s="53" t="s">
        <v>417</v>
      </c>
      <c r="D8" s="53" t="s">
        <v>55</v>
      </c>
    </row>
    <row r="9" spans="3:19" ht="15" thickBot="1" x14ac:dyDescent="0.4">
      <c r="M9" t="s">
        <v>484</v>
      </c>
      <c r="N9" s="69">
        <v>0.06</v>
      </c>
      <c r="S9" s="68"/>
    </row>
    <row r="10" spans="3:19" x14ac:dyDescent="0.35">
      <c r="C10" s="1" t="s">
        <v>418</v>
      </c>
      <c r="D10" s="65" t="s">
        <v>61</v>
      </c>
      <c r="E10" s="16" t="s">
        <v>9</v>
      </c>
      <c r="F10" s="16" t="s">
        <v>56</v>
      </c>
      <c r="G10" s="190" t="s">
        <v>57</v>
      </c>
    </row>
    <row r="11" spans="3:19" ht="15" thickBot="1" x14ac:dyDescent="0.4">
      <c r="D11" s="191" t="s">
        <v>82</v>
      </c>
      <c r="E11" s="189">
        <v>0.4</v>
      </c>
      <c r="F11" s="189">
        <v>0.3</v>
      </c>
      <c r="G11" s="192">
        <v>0.3</v>
      </c>
    </row>
    <row r="12" spans="3:19" s="19" customFormat="1" ht="15" thickBot="1" x14ac:dyDescent="0.4">
      <c r="D12" s="193" t="s">
        <v>81</v>
      </c>
      <c r="E12" s="194">
        <f>E11*$E$34</f>
        <v>0.4</v>
      </c>
      <c r="F12" s="194">
        <f t="shared" ref="F12:G12" si="0">F11*$E$34</f>
        <v>0.3</v>
      </c>
      <c r="G12" s="195">
        <f t="shared" si="0"/>
        <v>0.3</v>
      </c>
      <c r="H12" s="18"/>
      <c r="M12" s="63" t="s">
        <v>454</v>
      </c>
      <c r="N12" s="64"/>
      <c r="O12" s="66" t="s">
        <v>483</v>
      </c>
    </row>
    <row r="13" spans="3:19" s="19" customFormat="1" ht="15" thickBot="1" x14ac:dyDescent="0.4">
      <c r="D13" s="20"/>
      <c r="E13" s="18"/>
      <c r="F13" s="18"/>
      <c r="G13" s="18"/>
      <c r="M13" s="57" t="s">
        <v>455</v>
      </c>
      <c r="N13" s="58" t="e">
        <f>(1/'Value -2 '!#REF!)</f>
        <v>#REF!</v>
      </c>
      <c r="O13" s="58" t="e">
        <f>N13*(1+N9)</f>
        <v>#REF!</v>
      </c>
    </row>
    <row r="14" spans="3:19" x14ac:dyDescent="0.35">
      <c r="C14" s="1" t="s">
        <v>419</v>
      </c>
      <c r="D14" s="15" t="s">
        <v>78</v>
      </c>
      <c r="E14" s="196" t="s">
        <v>63</v>
      </c>
      <c r="F14" s="197" t="s">
        <v>64</v>
      </c>
      <c r="G14" s="197" t="s">
        <v>79</v>
      </c>
      <c r="H14" s="11" t="s">
        <v>77</v>
      </c>
      <c r="M14" s="59" t="s">
        <v>456</v>
      </c>
      <c r="N14" s="60" t="e">
        <f>(1/'Value -2 '!#REF!)</f>
        <v>#REF!</v>
      </c>
      <c r="O14" s="61"/>
    </row>
    <row r="15" spans="3:19" x14ac:dyDescent="0.35">
      <c r="D15" s="191" t="s">
        <v>82</v>
      </c>
      <c r="E15" s="69">
        <v>0.2</v>
      </c>
      <c r="F15" s="69">
        <v>0.2</v>
      </c>
      <c r="G15" s="69">
        <v>0.3</v>
      </c>
      <c r="H15" s="187">
        <v>0.3</v>
      </c>
      <c r="M15" s="59"/>
      <c r="N15" s="61"/>
      <c r="O15" s="61"/>
    </row>
    <row r="16" spans="3:19" ht="15" thickBot="1" x14ac:dyDescent="0.4">
      <c r="D16" s="193" t="s">
        <v>81</v>
      </c>
      <c r="E16" s="194">
        <f t="shared" ref="E16:F16" si="1">E15*$F$34</f>
        <v>0</v>
      </c>
      <c r="F16" s="194">
        <f t="shared" si="1"/>
        <v>0</v>
      </c>
      <c r="G16" s="194">
        <f>G15*$F$34</f>
        <v>0</v>
      </c>
      <c r="H16" s="195">
        <f>H15*$F$34</f>
        <v>0</v>
      </c>
      <c r="M16" s="59" t="s">
        <v>457</v>
      </c>
      <c r="N16" s="60" t="e">
        <f>'LIQIDITY 2'!#REF!/100</f>
        <v>#REF!</v>
      </c>
      <c r="O16" s="67">
        <v>4.4999999999999998E-2</v>
      </c>
    </row>
    <row r="17" spans="3:22" ht="15" thickBot="1" x14ac:dyDescent="0.4">
      <c r="D17" s="20"/>
      <c r="E17" s="18"/>
      <c r="F17" s="18"/>
      <c r="G17" s="18"/>
      <c r="H17" s="18"/>
      <c r="M17" s="59" t="s">
        <v>458</v>
      </c>
      <c r="N17" s="60" t="e">
        <f>'LIQIDITY 2'!#REF!/100</f>
        <v>#REF!</v>
      </c>
      <c r="O17" s="61"/>
    </row>
    <row r="18" spans="3:22" x14ac:dyDescent="0.35">
      <c r="C18" s="1" t="s">
        <v>420</v>
      </c>
      <c r="D18" s="65" t="s">
        <v>70</v>
      </c>
      <c r="E18" s="138" t="s">
        <v>73</v>
      </c>
      <c r="F18" s="5"/>
      <c r="M18" s="59"/>
      <c r="N18" s="61"/>
      <c r="O18" s="61"/>
    </row>
    <row r="19" spans="3:22" x14ac:dyDescent="0.35">
      <c r="D19" s="191" t="s">
        <v>82</v>
      </c>
      <c r="E19" s="187">
        <v>1</v>
      </c>
      <c r="F19" s="5"/>
      <c r="G19" s="5"/>
      <c r="M19" s="59"/>
      <c r="N19" s="61"/>
      <c r="O19" s="61"/>
    </row>
    <row r="20" spans="3:22" ht="15" thickBot="1" x14ac:dyDescent="0.4">
      <c r="D20" s="193" t="s">
        <v>81</v>
      </c>
      <c r="E20" s="198">
        <f>E19*$G$34</f>
        <v>0</v>
      </c>
      <c r="F20" s="5"/>
      <c r="G20" s="5"/>
      <c r="M20" s="59"/>
      <c r="N20" s="61"/>
      <c r="O20" s="61"/>
    </row>
    <row r="21" spans="3:22" ht="15" thickBot="1" x14ac:dyDescent="0.4">
      <c r="G21" s="5"/>
      <c r="M21" s="59" t="s">
        <v>459</v>
      </c>
      <c r="N21" s="60" t="e">
        <f>N13-N16</f>
        <v>#REF!</v>
      </c>
      <c r="O21" s="60" t="e">
        <f>O13-O16</f>
        <v>#REF!</v>
      </c>
    </row>
    <row r="22" spans="3:22" ht="15" thickBot="1" x14ac:dyDescent="0.4">
      <c r="C22" s="1" t="s">
        <v>516</v>
      </c>
      <c r="D22" s="15" t="s">
        <v>58</v>
      </c>
      <c r="E22" s="16" t="s">
        <v>514</v>
      </c>
      <c r="F22" s="11" t="s">
        <v>59</v>
      </c>
      <c r="M22" s="12" t="s">
        <v>460</v>
      </c>
      <c r="N22" s="62" t="e">
        <f>N13-N17</f>
        <v>#REF!</v>
      </c>
      <c r="O22" s="60"/>
    </row>
    <row r="23" spans="3:22" x14ac:dyDescent="0.35">
      <c r="D23" s="191" t="s">
        <v>82</v>
      </c>
      <c r="E23" s="69">
        <v>0</v>
      </c>
      <c r="F23" s="187">
        <v>0</v>
      </c>
      <c r="G23" s="5"/>
      <c r="M23" s="9"/>
      <c r="N23" s="5"/>
      <c r="T23" s="9"/>
    </row>
    <row r="24" spans="3:22" ht="15" thickBot="1" x14ac:dyDescent="0.4">
      <c r="D24" s="193" t="s">
        <v>81</v>
      </c>
      <c r="E24" s="17">
        <f>E23*$H$34</f>
        <v>0</v>
      </c>
      <c r="F24" s="169">
        <f t="shared" ref="F24" si="2">F23*$H$34</f>
        <v>0</v>
      </c>
      <c r="G24" s="5"/>
      <c r="Q24" s="5"/>
      <c r="R24" s="56"/>
      <c r="T24" s="9"/>
      <c r="V24" s="9"/>
    </row>
    <row r="25" spans="3:22" ht="15" thickBot="1" x14ac:dyDescent="0.4"/>
    <row r="26" spans="3:22" x14ac:dyDescent="0.35">
      <c r="C26" s="119" t="s">
        <v>784</v>
      </c>
      <c r="D26" s="168" t="s">
        <v>785</v>
      </c>
      <c r="E26" s="10" t="s">
        <v>780</v>
      </c>
      <c r="F26" s="11" t="s">
        <v>786</v>
      </c>
    </row>
    <row r="27" spans="3:22" x14ac:dyDescent="0.35">
      <c r="D27" s="191" t="s">
        <v>82</v>
      </c>
      <c r="E27" s="69">
        <v>0.6</v>
      </c>
      <c r="F27" s="187">
        <v>0.4</v>
      </c>
    </row>
    <row r="28" spans="3:22" ht="15" thickBot="1" x14ac:dyDescent="0.4">
      <c r="D28" s="193" t="s">
        <v>81</v>
      </c>
      <c r="E28" s="17">
        <f>E27*$I$34</f>
        <v>0</v>
      </c>
      <c r="F28" s="169">
        <f>F27*$I$34</f>
        <v>0</v>
      </c>
    </row>
    <row r="29" spans="3:22" ht="15" thickBot="1" x14ac:dyDescent="0.4"/>
    <row r="30" spans="3:22" x14ac:dyDescent="0.35">
      <c r="C30" t="s">
        <v>903</v>
      </c>
      <c r="D30" s="15" t="s">
        <v>904</v>
      </c>
      <c r="E30" s="188">
        <v>0.2</v>
      </c>
    </row>
    <row r="31" spans="3:22" ht="15" thickBot="1" x14ac:dyDescent="0.4">
      <c r="D31" s="12"/>
      <c r="E31" s="169">
        <f>E30*$J$34</f>
        <v>0</v>
      </c>
    </row>
    <row r="32" spans="3:22" ht="15" thickBot="1" x14ac:dyDescent="0.4"/>
    <row r="33" spans="3:12" x14ac:dyDescent="0.35">
      <c r="D33" s="15" t="s">
        <v>74</v>
      </c>
      <c r="E33" s="15" t="s">
        <v>61</v>
      </c>
      <c r="F33" s="16" t="s">
        <v>80</v>
      </c>
      <c r="G33" s="16" t="s">
        <v>70</v>
      </c>
      <c r="H33" s="16" t="s">
        <v>515</v>
      </c>
      <c r="I33" s="123" t="s">
        <v>785</v>
      </c>
      <c r="J33" s="123" t="s">
        <v>904</v>
      </c>
    </row>
    <row r="34" spans="3:12" ht="15" thickBot="1" x14ac:dyDescent="0.4">
      <c r="D34" s="12"/>
      <c r="E34" s="71">
        <v>1</v>
      </c>
      <c r="F34" s="72">
        <v>0</v>
      </c>
      <c r="G34" s="72">
        <v>0</v>
      </c>
      <c r="H34" s="72">
        <v>0</v>
      </c>
      <c r="I34" s="73">
        <v>0</v>
      </c>
      <c r="J34" s="73">
        <v>0</v>
      </c>
    </row>
    <row r="38" spans="3:12" x14ac:dyDescent="0.35">
      <c r="C38" s="53" t="s">
        <v>421</v>
      </c>
      <c r="D38" s="53" t="s">
        <v>60</v>
      </c>
    </row>
    <row r="39" spans="3:12" x14ac:dyDescent="0.35">
      <c r="E39" s="1" t="s">
        <v>412</v>
      </c>
      <c r="F39" t="s">
        <v>413</v>
      </c>
      <c r="G39" s="1" t="s">
        <v>414</v>
      </c>
      <c r="H39" t="s">
        <v>415</v>
      </c>
      <c r="I39" s="1" t="s">
        <v>431</v>
      </c>
      <c r="J39" s="1" t="s">
        <v>535</v>
      </c>
      <c r="K39" s="1" t="s">
        <v>759</v>
      </c>
    </row>
    <row r="40" spans="3:12" x14ac:dyDescent="0.35">
      <c r="E40" s="5">
        <v>0.05</v>
      </c>
      <c r="F40" s="5">
        <v>0.25</v>
      </c>
      <c r="G40" s="5">
        <v>0.25</v>
      </c>
      <c r="H40" s="5">
        <v>0.25</v>
      </c>
      <c r="I40" s="5">
        <v>0.1</v>
      </c>
      <c r="J40" s="5">
        <v>0</v>
      </c>
      <c r="K40" s="5">
        <v>0.1</v>
      </c>
      <c r="L40" s="5">
        <f>SUM(E40:K40)</f>
        <v>1</v>
      </c>
    </row>
    <row r="42" spans="3:12" x14ac:dyDescent="0.35">
      <c r="C42" s="53" t="s">
        <v>401</v>
      </c>
      <c r="D42" s="53" t="s">
        <v>10</v>
      </c>
    </row>
    <row r="43" spans="3:12" x14ac:dyDescent="0.35">
      <c r="C43" t="s">
        <v>422</v>
      </c>
      <c r="D43" t="s">
        <v>416</v>
      </c>
      <c r="E43" s="5">
        <v>0.5</v>
      </c>
    </row>
    <row r="44" spans="3:12" x14ac:dyDescent="0.35">
      <c r="C44" t="s">
        <v>423</v>
      </c>
      <c r="D44" t="s">
        <v>464</v>
      </c>
      <c r="E44" s="5">
        <v>0.25</v>
      </c>
      <c r="F44" s="5"/>
    </row>
    <row r="45" spans="3:12" x14ac:dyDescent="0.35">
      <c r="C45" t="s">
        <v>465</v>
      </c>
      <c r="D45" t="s">
        <v>466</v>
      </c>
      <c r="E45" s="5">
        <v>0.25</v>
      </c>
    </row>
    <row r="47" spans="3:12" x14ac:dyDescent="0.35">
      <c r="D47" s="1"/>
    </row>
    <row r="48" spans="3:12" x14ac:dyDescent="0.35">
      <c r="C48" s="53" t="s">
        <v>424</v>
      </c>
      <c r="D48" s="53" t="s">
        <v>920</v>
      </c>
    </row>
    <row r="49" spans="3:8" x14ac:dyDescent="0.35">
      <c r="E49" t="s">
        <v>398</v>
      </c>
      <c r="F49" t="s">
        <v>399</v>
      </c>
    </row>
    <row r="50" spans="3:8" x14ac:dyDescent="0.35">
      <c r="D50" t="s">
        <v>65</v>
      </c>
      <c r="E50" s="76">
        <v>-0.05</v>
      </c>
      <c r="F50">
        <v>-10</v>
      </c>
    </row>
    <row r="52" spans="3:8" x14ac:dyDescent="0.35">
      <c r="E52" s="1" t="s">
        <v>921</v>
      </c>
      <c r="F52" t="s">
        <v>531</v>
      </c>
      <c r="G52" t="s">
        <v>407</v>
      </c>
    </row>
    <row r="53" spans="3:8" x14ac:dyDescent="0.35">
      <c r="D53" s="1" t="s">
        <v>532</v>
      </c>
      <c r="E53" s="5">
        <v>0.25</v>
      </c>
      <c r="F53" s="5">
        <v>0.25</v>
      </c>
      <c r="G53" s="5">
        <v>0.5</v>
      </c>
    </row>
    <row r="55" spans="3:8" x14ac:dyDescent="0.35">
      <c r="C55" s="53" t="s">
        <v>426</v>
      </c>
      <c r="D55" s="53" t="s">
        <v>504</v>
      </c>
      <c r="F55" s="1">
        <v>1</v>
      </c>
      <c r="G55" s="1">
        <v>3</v>
      </c>
      <c r="H55" s="1">
        <v>6</v>
      </c>
    </row>
    <row r="56" spans="3:8" x14ac:dyDescent="0.35">
      <c r="C56" s="53" t="s">
        <v>427</v>
      </c>
      <c r="D56" t="s">
        <v>489</v>
      </c>
      <c r="E56" s="5">
        <v>0.5</v>
      </c>
      <c r="F56" s="5">
        <v>0.2</v>
      </c>
      <c r="G56" s="5">
        <v>0.4</v>
      </c>
      <c r="H56" s="5">
        <v>0.4</v>
      </c>
    </row>
    <row r="57" spans="3:8" x14ac:dyDescent="0.35">
      <c r="C57" t="s">
        <v>427</v>
      </c>
      <c r="D57" t="s">
        <v>428</v>
      </c>
      <c r="E57" s="5">
        <v>0.3</v>
      </c>
    </row>
    <row r="58" spans="3:8" x14ac:dyDescent="0.35">
      <c r="C58" t="s">
        <v>429</v>
      </c>
      <c r="D58" t="s">
        <v>430</v>
      </c>
      <c r="E58" s="5">
        <v>0.2</v>
      </c>
    </row>
    <row r="60" spans="3:8" x14ac:dyDescent="0.35">
      <c r="C60" s="53" t="s">
        <v>511</v>
      </c>
      <c r="D60" s="53" t="s">
        <v>506</v>
      </c>
    </row>
    <row r="61" spans="3:8" x14ac:dyDescent="0.35">
      <c r="D61" t="s">
        <v>508</v>
      </c>
      <c r="F61" s="5">
        <v>0.25</v>
      </c>
      <c r="G61" t="s">
        <v>538</v>
      </c>
    </row>
    <row r="62" spans="3:8" x14ac:dyDescent="0.35">
      <c r="D62" t="s">
        <v>509</v>
      </c>
      <c r="F62" s="5">
        <v>0.25</v>
      </c>
    </row>
    <row r="63" spans="3:8" x14ac:dyDescent="0.35">
      <c r="D63" t="s">
        <v>510</v>
      </c>
      <c r="F63" s="5">
        <v>0.25</v>
      </c>
    </row>
    <row r="64" spans="3:8" x14ac:dyDescent="0.35">
      <c r="D64" t="s">
        <v>550</v>
      </c>
      <c r="F64" s="5">
        <v>0.25</v>
      </c>
    </row>
    <row r="65" spans="3:9" x14ac:dyDescent="0.35">
      <c r="F65" s="5"/>
    </row>
    <row r="67" spans="3:9" x14ac:dyDescent="0.35">
      <c r="D67" s="1"/>
      <c r="E67" s="1"/>
      <c r="F67" s="1"/>
      <c r="G67" s="1"/>
      <c r="H67" s="1"/>
      <c r="I67" s="1"/>
    </row>
    <row r="68" spans="3:9" x14ac:dyDescent="0.35">
      <c r="D68" s="5"/>
      <c r="E68" s="5"/>
      <c r="F68" s="5"/>
      <c r="G68" s="5"/>
      <c r="H68" s="5"/>
      <c r="I68" s="5"/>
    </row>
    <row r="69" spans="3:9" x14ac:dyDescent="0.35">
      <c r="C69" s="53" t="s">
        <v>505</v>
      </c>
      <c r="D69" s="53" t="s">
        <v>425</v>
      </c>
    </row>
    <row r="71" spans="3:9" x14ac:dyDescent="0.35">
      <c r="C71" s="119" t="s">
        <v>802</v>
      </c>
      <c r="D71" s="6">
        <v>0.3</v>
      </c>
    </row>
    <row r="72" spans="3:9" x14ac:dyDescent="0.35">
      <c r="C72" s="19" t="s">
        <v>556</v>
      </c>
      <c r="D72" s="18">
        <v>0.33329999999999999</v>
      </c>
    </row>
    <row r="73" spans="3:9" x14ac:dyDescent="0.35">
      <c r="C73" s="19" t="s">
        <v>558</v>
      </c>
      <c r="D73" s="18">
        <v>0.33329999999999999</v>
      </c>
    </row>
    <row r="74" spans="3:9" x14ac:dyDescent="0.35">
      <c r="C74" s="19" t="s">
        <v>559</v>
      </c>
      <c r="D74" s="18">
        <v>0.33329999999999999</v>
      </c>
    </row>
    <row r="76" spans="3:9" x14ac:dyDescent="0.35">
      <c r="C76" s="119" t="s">
        <v>557</v>
      </c>
      <c r="D76" s="5">
        <v>0.2</v>
      </c>
    </row>
    <row r="77" spans="3:9" x14ac:dyDescent="0.35">
      <c r="G77" s="1"/>
      <c r="H77" s="1"/>
    </row>
    <row r="78" spans="3:9" x14ac:dyDescent="0.35">
      <c r="C78" s="119" t="s">
        <v>554</v>
      </c>
      <c r="D78" s="5">
        <v>0.4</v>
      </c>
    </row>
    <row r="80" spans="3:9" x14ac:dyDescent="0.35">
      <c r="C80" s="119" t="s">
        <v>560</v>
      </c>
      <c r="D80" s="5">
        <v>0.1</v>
      </c>
    </row>
    <row r="82" spans="3:8" x14ac:dyDescent="0.35">
      <c r="C82" t="s">
        <v>841</v>
      </c>
      <c r="D82" s="5">
        <f>D71+D76+D78+D80</f>
        <v>1</v>
      </c>
      <c r="G82" s="1"/>
      <c r="H82" s="1"/>
    </row>
    <row r="86" spans="3:8" x14ac:dyDescent="0.35">
      <c r="G86" s="1"/>
      <c r="H86" s="1"/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7C80E-BFD9-473A-B119-3481B7E41B8C}">
  <dimension ref="C4:D8"/>
  <sheetViews>
    <sheetView workbookViewId="0">
      <selection activeCell="H9" sqref="H9"/>
    </sheetView>
  </sheetViews>
  <sheetFormatPr defaultRowHeight="14.5" x14ac:dyDescent="0.35"/>
  <cols>
    <col min="3" max="3" width="26.81640625" bestFit="1" customWidth="1"/>
    <col min="4" max="4" width="10.81640625" customWidth="1"/>
  </cols>
  <sheetData>
    <row r="4" spans="3:4" x14ac:dyDescent="0.35">
      <c r="C4" s="1" t="s">
        <v>912</v>
      </c>
    </row>
    <row r="5" spans="3:4" ht="15" thickBot="1" x14ac:dyDescent="0.4"/>
    <row r="6" spans="3:4" x14ac:dyDescent="0.35">
      <c r="C6" s="65" t="s">
        <v>909</v>
      </c>
      <c r="D6" s="179">
        <f>Timing!L30</f>
        <v>0.66666666666666663</v>
      </c>
    </row>
    <row r="7" spans="3:4" x14ac:dyDescent="0.35">
      <c r="C7" s="59" t="s">
        <v>910</v>
      </c>
      <c r="D7" s="60">
        <f>Timing!M30</f>
        <v>0.47619047619047616</v>
      </c>
    </row>
    <row r="8" spans="3:4" ht="15" thickBot="1" x14ac:dyDescent="0.4">
      <c r="C8" s="12" t="s">
        <v>911</v>
      </c>
      <c r="D8" s="62">
        <f>Timing!N30</f>
        <v>0.52380952380952384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E9CE9-D88B-4C94-B4F6-F98AE1A97539}">
  <dimension ref="B2:P26"/>
  <sheetViews>
    <sheetView tabSelected="1" zoomScale="85" zoomScaleNormal="85" workbookViewId="0">
      <selection activeCell="H30" sqref="H30"/>
    </sheetView>
  </sheetViews>
  <sheetFormatPr defaultRowHeight="14.5" x14ac:dyDescent="0.35"/>
  <cols>
    <col min="2" max="2" width="13.453125" customWidth="1"/>
    <col min="3" max="3" width="34.453125" bestFit="1" customWidth="1"/>
    <col min="4" max="4" width="12.453125" bestFit="1" customWidth="1"/>
    <col min="5" max="6" width="12.453125" customWidth="1"/>
    <col min="7" max="7" width="15" hidden="1" customWidth="1"/>
    <col min="8" max="8" width="15" customWidth="1"/>
    <col min="9" max="9" width="15.453125" bestFit="1" customWidth="1"/>
    <col min="10" max="10" width="11" customWidth="1"/>
    <col min="11" max="11" width="11.453125" bestFit="1" customWidth="1"/>
    <col min="12" max="12" width="16.453125" bestFit="1" customWidth="1"/>
    <col min="13" max="13" width="18.1796875" customWidth="1"/>
    <col min="14" max="14" width="17.1796875" customWidth="1"/>
  </cols>
  <sheetData>
    <row r="2" spans="2:16" ht="18.75" customHeight="1" x14ac:dyDescent="0.35">
      <c r="D2" s="132">
        <f>Assumption!D72*Assumption!$D$71</f>
        <v>9.9989999999999996E-2</v>
      </c>
      <c r="E2" s="132">
        <f>Assumption!D73*Assumption!$D$71</f>
        <v>9.9989999999999996E-2</v>
      </c>
      <c r="F2" s="132">
        <f>Assumption!D74*Assumption!$D$71</f>
        <v>9.9989999999999996E-2</v>
      </c>
      <c r="G2" s="132"/>
      <c r="H2" s="132"/>
      <c r="I2" s="132">
        <f>Assumption!D76</f>
        <v>0.2</v>
      </c>
      <c r="J2" s="132">
        <f>Assumption!D78</f>
        <v>0.4</v>
      </c>
      <c r="K2" s="119"/>
      <c r="L2" s="132">
        <f>Assumption!D80</f>
        <v>0.1</v>
      </c>
      <c r="P2" s="52">
        <f>SUM(D2:N2)</f>
        <v>0.99996999999999991</v>
      </c>
    </row>
    <row r="4" spans="2:16" ht="60.75" customHeight="1" x14ac:dyDescent="0.35">
      <c r="B4" s="203" t="s">
        <v>555</v>
      </c>
      <c r="C4" s="204"/>
      <c r="D4" s="208" t="s">
        <v>802</v>
      </c>
      <c r="E4" s="209"/>
      <c r="F4" s="210"/>
      <c r="G4" s="211" t="s">
        <v>838</v>
      </c>
      <c r="H4" s="211" t="s">
        <v>838</v>
      </c>
      <c r="I4" s="201" t="s">
        <v>557</v>
      </c>
      <c r="J4" s="207" t="s">
        <v>554</v>
      </c>
      <c r="K4" s="207"/>
      <c r="L4" s="201" t="s">
        <v>560</v>
      </c>
      <c r="M4" s="201" t="s">
        <v>561</v>
      </c>
      <c r="N4" s="201" t="s">
        <v>750</v>
      </c>
    </row>
    <row r="5" spans="2:16" x14ac:dyDescent="0.35">
      <c r="B5" s="205"/>
      <c r="C5" s="206"/>
      <c r="D5" s="170" t="s">
        <v>556</v>
      </c>
      <c r="E5" s="170" t="s">
        <v>558</v>
      </c>
      <c r="F5" s="170" t="s">
        <v>919</v>
      </c>
      <c r="G5" s="212"/>
      <c r="H5" s="213"/>
      <c r="I5" s="202"/>
      <c r="J5" s="170" t="s">
        <v>564</v>
      </c>
      <c r="K5" s="170" t="s">
        <v>562</v>
      </c>
      <c r="L5" s="202"/>
      <c r="M5" s="202"/>
      <c r="N5" s="202"/>
    </row>
    <row r="6" spans="2:16" x14ac:dyDescent="0.35">
      <c r="B6" s="181"/>
      <c r="C6" s="182"/>
      <c r="D6" s="181"/>
      <c r="E6" s="181"/>
      <c r="F6" s="181"/>
      <c r="G6" s="180"/>
      <c r="H6" s="180"/>
      <c r="I6" s="182"/>
      <c r="J6" s="186"/>
      <c r="K6" s="183"/>
      <c r="L6" s="183"/>
      <c r="M6" s="183"/>
      <c r="N6" s="183"/>
    </row>
    <row r="7" spans="2:16" x14ac:dyDescent="0.35">
      <c r="B7" s="80" t="s">
        <v>12</v>
      </c>
      <c r="C7" s="82" t="s">
        <v>54</v>
      </c>
      <c r="D7" s="128">
        <f>VLOOKUP(B7,'Value -2 '!$D$3:$AC$23,26,FALSE)</f>
        <v>72.7</v>
      </c>
      <c r="E7" s="128">
        <f>VLOOKUP(B7,'Quality - 2'!$B$2:$S$22,18,FALSE)</f>
        <v>18.099999999999998</v>
      </c>
      <c r="F7" s="128">
        <f>VLOOKUP(B7,Safety!$B$4:$R$24,17,FALSE)</f>
        <v>40.9</v>
      </c>
      <c r="G7" s="134">
        <f t="shared" ref="G7:G26" si="0">(D7*$D$2 +E7*$E$2 +F7*$F$2)/($D$2+$E$2+$F$2)</f>
        <v>43.9</v>
      </c>
      <c r="H7" s="133" cm="1">
        <f t="array" ref="H7">_xlfn.PERCENTRANK.EXC(_xlfn._xlws.FILTER($G$7:G$26, ISNUMBER($G$7:G$26)),G7)*100</f>
        <v>38</v>
      </c>
      <c r="I7" s="171">
        <f>VLOOKUP(B7,'LIQIDITY 2'!$A$3:$X$23,24,FALSE)</f>
        <v>13.600000000000001</v>
      </c>
      <c r="J7" s="126">
        <f ca="1">VLOOKUP(B7,'Momnetum ranking'!A:AJ,36,FALSE)</f>
        <v>4.5</v>
      </c>
      <c r="K7" s="173">
        <f>VLOOKUP(B7,'Momnetum ranking'!$A$3:$H$23,8,FALSE)</f>
        <v>0.23529411764705882</v>
      </c>
      <c r="L7" s="127">
        <f>VLOOKUP(B7,'Currency- 2'!$A$3:$U$23,21,FALSE)</f>
        <v>9</v>
      </c>
      <c r="M7" s="136">
        <f t="shared" ref="M7:M26" ca="1" si="1">D7*$D$2 + E7*$E$2 + F7*$F$2 + I7*$I$2 + J7*$J$2 + L7*$L$2</f>
        <v>18.588682999999996</v>
      </c>
      <c r="N7" s="127" cm="1">
        <f t="array" aca="1" ref="N7" ca="1">_xlfn.PERCENTRANK.EXC(_xlfn._xlws.FILTER($M$7:M$26, ISNUMBER($M$7:M$26)),M7)*100</f>
        <v>4.7</v>
      </c>
    </row>
    <row r="8" spans="2:16" x14ac:dyDescent="0.35">
      <c r="B8" s="80" t="s">
        <v>23</v>
      </c>
      <c r="C8" s="82" t="s">
        <v>439</v>
      </c>
      <c r="D8" s="128">
        <f>VLOOKUP(B8,'Value -2 '!$D$3:$AC$23,26,FALSE)</f>
        <v>86.3</v>
      </c>
      <c r="E8" s="128">
        <f>VLOOKUP(B8,'Quality - 2'!$B$2:$S$22,18,FALSE)</f>
        <v>9</v>
      </c>
      <c r="F8" s="128">
        <f>VLOOKUP(B8,Safety!$B$4:$R$24,17,FALSE)</f>
        <v>9</v>
      </c>
      <c r="G8" s="134">
        <f t="shared" si="0"/>
        <v>34.766666666666673</v>
      </c>
      <c r="H8" s="134" cm="1">
        <f t="array" ref="H8">_xlfn.PERCENTRANK.EXC(_xlfn._xlws.FILTER($G$7:G$26, ISNUMBER($G$7:G$26)),G8)*100</f>
        <v>23.799999999999997</v>
      </c>
      <c r="I8" s="171">
        <f>VLOOKUP(B8,'LIQIDITY 2'!$A$3:$X$23,24,FALSE)</f>
        <v>86.3</v>
      </c>
      <c r="J8" s="126">
        <f ca="1">VLOOKUP(B8,'Momnetum ranking'!A:AJ,36,FALSE)</f>
        <v>68.100000000000009</v>
      </c>
      <c r="K8" s="173">
        <f>VLOOKUP(B8,'Momnetum ranking'!$A$3:$H$23,8,FALSE)</f>
        <v>0.5</v>
      </c>
      <c r="L8" s="127">
        <f>VLOOKUP(B8,'Currency- 2'!$A$3:$U$23,21,FALSE)</f>
        <v>77.2</v>
      </c>
      <c r="M8" s="136">
        <f t="shared" ca="1" si="1"/>
        <v>62.64895700000001</v>
      </c>
      <c r="N8" s="127" cm="1">
        <f t="array" aca="1" ref="N8" ca="1">_xlfn.PERCENTRANK.EXC(_xlfn._xlws.FILTER($M$7:M$26, ISNUMBER($M$7:M$26)),M8)*100</f>
        <v>95.199999999999989</v>
      </c>
    </row>
    <row r="9" spans="2:16" x14ac:dyDescent="0.35">
      <c r="B9" s="80" t="s">
        <v>21</v>
      </c>
      <c r="C9" s="82" t="s">
        <v>38</v>
      </c>
      <c r="D9" s="128">
        <f>VLOOKUP(B9,'Value -2 '!$D$3:$AC$23,26,FALSE)</f>
        <v>45.4</v>
      </c>
      <c r="E9" s="128">
        <f>VLOOKUP(B9,'Quality - 2'!$B$2:$S$22,18,FALSE)</f>
        <v>77.2</v>
      </c>
      <c r="F9" s="128">
        <f>VLOOKUP(B9,Safety!$B$4:$R$24,17,FALSE)</f>
        <v>31.8</v>
      </c>
      <c r="G9" s="134">
        <f t="shared" si="0"/>
        <v>51.466666666666669</v>
      </c>
      <c r="H9" s="134" cm="1">
        <f t="array" ref="H9">_xlfn.PERCENTRANK.EXC(_xlfn._xlws.FILTER($G$7:G$26, ISNUMBER($G$7:G$26)),G9)*100</f>
        <v>52.300000000000004</v>
      </c>
      <c r="I9" s="171">
        <f>VLOOKUP(B9,'LIQIDITY 2'!$A$3:$X$23,24,FALSE)</f>
        <v>13.600000000000001</v>
      </c>
      <c r="J9" s="126">
        <f ca="1">VLOOKUP(B9,'Momnetum ranking'!A:AJ,36,FALSE)</f>
        <v>59</v>
      </c>
      <c r="K9" s="173">
        <f>VLOOKUP(B9,'Momnetum ranking'!$A$3:$H$23,8,FALSE)</f>
        <v>0.44</v>
      </c>
      <c r="L9" s="127">
        <f>VLOOKUP(B9,'Currency- 2'!$A$3:$U$23,21,FALSE)</f>
        <v>27.200000000000003</v>
      </c>
      <c r="M9" s="136">
        <f t="shared" ca="1" si="1"/>
        <v>44.478456000000001</v>
      </c>
      <c r="N9" s="127" cm="1">
        <f t="array" aca="1" ref="N9" ca="1">_xlfn.PERCENTRANK.EXC(_xlfn._xlws.FILTER($M$7:M$26, ISNUMBER($M$7:M$26)),M9)*100</f>
        <v>42.8</v>
      </c>
    </row>
    <row r="10" spans="2:16" x14ac:dyDescent="0.35">
      <c r="B10" s="80" t="s">
        <v>24</v>
      </c>
      <c r="C10" s="82" t="s">
        <v>40</v>
      </c>
      <c r="D10" s="128">
        <f>VLOOKUP(B10,'Value -2 '!$D$3:$AC$23,26,FALSE)</f>
        <v>27.200000000000003</v>
      </c>
      <c r="E10" s="128">
        <f>VLOOKUP(B10,'Quality - 2'!$B$2:$S$22,18,FALSE)</f>
        <v>90.9</v>
      </c>
      <c r="F10" s="128">
        <f>VLOOKUP(B10,Safety!$B$4:$R$24,17,FALSE)</f>
        <v>63.6</v>
      </c>
      <c r="G10" s="134">
        <f t="shared" si="0"/>
        <v>60.56666666666667</v>
      </c>
      <c r="H10" s="134" cm="1">
        <f t="array" ref="H10">_xlfn.PERCENTRANK.EXC(_xlfn._xlws.FILTER($G$7:G$26, ISNUMBER($G$7:G$26)),G10)*100</f>
        <v>76.099999999999994</v>
      </c>
      <c r="I10" s="171">
        <f>VLOOKUP(B10,'LIQIDITY 2'!$A$3:$X$23,24,FALSE)</f>
        <v>13.600000000000001</v>
      </c>
      <c r="J10" s="126">
        <f ca="1">VLOOKUP(B10,'Momnetum ranking'!A:AJ,36,FALSE)</f>
        <v>77.2</v>
      </c>
      <c r="K10" s="173">
        <f>VLOOKUP(B10,'Momnetum ranking'!$A$3:$H$23,8,FALSE)</f>
        <v>0.3888888888888889</v>
      </c>
      <c r="L10" s="127">
        <f>VLOOKUP(B10,'Currency- 2'!$A$3:$U$23,21,FALSE)</f>
        <v>40.9</v>
      </c>
      <c r="M10" s="136">
        <f t="shared" ca="1" si="1"/>
        <v>55.858182999999997</v>
      </c>
      <c r="N10" s="127" cm="1">
        <f t="array" aca="1" ref="N10" ca="1">_xlfn.PERCENTRANK.EXC(_xlfn._xlws.FILTER($M$7:M$26, ISNUMBER($M$7:M$26)),M10)*100</f>
        <v>85.7</v>
      </c>
    </row>
    <row r="11" spans="2:16" x14ac:dyDescent="0.35">
      <c r="B11" s="80" t="s">
        <v>32</v>
      </c>
      <c r="C11" s="82" t="s">
        <v>52</v>
      </c>
      <c r="D11" s="128">
        <f>VLOOKUP(B11,'Value -2 '!$D$3:$AC$23,26,FALSE)</f>
        <v>4.5</v>
      </c>
      <c r="E11" s="128">
        <f>VLOOKUP(B11,'Quality - 2'!$B$2:$S$22,18,FALSE)</f>
        <v>81.8</v>
      </c>
      <c r="F11" s="128">
        <f>VLOOKUP(B11,Safety!$B$4:$R$24,17,FALSE)</f>
        <v>45.4</v>
      </c>
      <c r="G11" s="134">
        <f t="shared" si="0"/>
        <v>43.9</v>
      </c>
      <c r="H11" s="134" cm="1">
        <f t="array" ref="H11">_xlfn.PERCENTRANK.EXC(_xlfn._xlws.FILTER($G$7:G$26, ISNUMBER($G$7:G$26)),G11)*100</f>
        <v>38</v>
      </c>
      <c r="I11" s="171">
        <f>VLOOKUP(B11,'LIQIDITY 2'!$A$3:$X$23,24,FALSE)</f>
        <v>13.600000000000001</v>
      </c>
      <c r="J11" s="126">
        <f ca="1">VLOOKUP(B11,'Momnetum ranking'!A:AJ,36,FALSE)</f>
        <v>86.3</v>
      </c>
      <c r="K11" s="173">
        <f>VLOOKUP(B11,'Momnetum ranking'!$A$3:$H$23,8,FALSE)</f>
        <v>0.37414965986394561</v>
      </c>
      <c r="L11" s="127">
        <f>VLOOKUP(B11,'Currency- 2'!$A$3:$U$23,21,FALSE)</f>
        <v>59</v>
      </c>
      <c r="M11" s="136">
        <f t="shared" ca="1" si="1"/>
        <v>56.308683000000002</v>
      </c>
      <c r="N11" s="127" cm="1">
        <f t="array" aca="1" ref="N11" ca="1">_xlfn.PERCENTRANK.EXC(_xlfn._xlws.FILTER($M$7:M$26, ISNUMBER($M$7:M$26)),M11)*100</f>
        <v>90.4</v>
      </c>
    </row>
    <row r="12" spans="2:16" x14ac:dyDescent="0.35">
      <c r="B12" s="80" t="s">
        <v>34</v>
      </c>
      <c r="C12" s="82" t="s">
        <v>447</v>
      </c>
      <c r="D12" s="128">
        <f>VLOOKUP(B12,'Value -2 '!$D$3:$AC$23,26,FALSE)</f>
        <v>81.8</v>
      </c>
      <c r="E12" s="128">
        <f>VLOOKUP(B12,'Quality - 2'!$B$2:$S$22,18,FALSE)</f>
        <v>22.7</v>
      </c>
      <c r="F12" s="128">
        <f>VLOOKUP(B12,Safety!$B$4:$R$24,17,FALSE)</f>
        <v>59</v>
      </c>
      <c r="G12" s="134">
        <f t="shared" si="0"/>
        <v>54.5</v>
      </c>
      <c r="H12" s="134" cm="1">
        <f t="array" ref="H12">_xlfn.PERCENTRANK.EXC(_xlfn._xlws.FILTER($G$7:G$26, ISNUMBER($G$7:G$26)),G12)*100</f>
        <v>66.600000000000009</v>
      </c>
      <c r="I12" s="171">
        <f>VLOOKUP(B12,'LIQIDITY 2'!$A$3:$X$23,24,FALSE)</f>
        <v>4.5</v>
      </c>
      <c r="J12" s="126">
        <f ca="1">VLOOKUP(B12,'Momnetum ranking'!A:AJ,36,FALSE)</f>
        <v>45.4</v>
      </c>
      <c r="K12" s="173">
        <f>VLOOKUP(B12,'Momnetum ranking'!$A$3:$H$23,8,FALSE)</f>
        <v>0.18604651162790697</v>
      </c>
      <c r="L12" s="127">
        <f>VLOOKUP(B12,'Currency- 2'!$A$3:$U$23,21,FALSE)</f>
        <v>90.9</v>
      </c>
      <c r="M12" s="136">
        <f t="shared" ca="1" si="1"/>
        <v>44.498365</v>
      </c>
      <c r="N12" s="127" cm="1">
        <f t="array" aca="1" ref="N12" ca="1">_xlfn.PERCENTRANK.EXC(_xlfn._xlws.FILTER($M$7:M$26, ISNUMBER($M$7:M$26)),M12)*100</f>
        <v>47.599999999999994</v>
      </c>
    </row>
    <row r="13" spans="2:16" x14ac:dyDescent="0.35">
      <c r="B13" s="80" t="s">
        <v>26</v>
      </c>
      <c r="C13" s="82" t="s">
        <v>41</v>
      </c>
      <c r="D13" s="128">
        <f>VLOOKUP(B13,'Value -2 '!$D$3:$AC$23,26,FALSE)</f>
        <v>77.2</v>
      </c>
      <c r="E13" s="128">
        <f>VLOOKUP(B13,'Quality - 2'!$B$2:$S$22,18,FALSE)</f>
        <v>86.3</v>
      </c>
      <c r="F13" s="128">
        <f>VLOOKUP(B13,Safety!$B$4:$R$24,17,FALSE)</f>
        <v>31.8</v>
      </c>
      <c r="G13" s="134">
        <f t="shared" si="0"/>
        <v>65.100000000000009</v>
      </c>
      <c r="H13" s="134" cm="1">
        <f t="array" ref="H13">_xlfn.PERCENTRANK.EXC(_xlfn._xlws.FILTER($G$7:G$26, ISNUMBER($G$7:G$26)),G13)*100</f>
        <v>80.900000000000006</v>
      </c>
      <c r="I13" s="171">
        <f>VLOOKUP(B13,'LIQIDITY 2'!$A$3:$X$23,24,FALSE)</f>
        <v>13.600000000000001</v>
      </c>
      <c r="J13" s="126">
        <f ca="1">VLOOKUP(B13,'Momnetum ranking'!A:AJ,36,FALSE)</f>
        <v>54.500000000000007</v>
      </c>
      <c r="K13" s="173">
        <f>VLOOKUP(B13,'Momnetum ranking'!$A$3:$H$23,8,FALSE)</f>
        <v>0.30414746543778803</v>
      </c>
      <c r="L13" s="127">
        <f>VLOOKUP(B13,'Currency- 2'!$A$3:$U$23,21,FALSE)</f>
        <v>45.4</v>
      </c>
      <c r="M13" s="136">
        <f t="shared" ca="1" si="1"/>
        <v>48.588047000000003</v>
      </c>
      <c r="N13" s="127" cm="1">
        <f t="array" aca="1" ref="N13" ca="1">_xlfn.PERCENTRANK.EXC(_xlfn._xlws.FILTER($M$7:M$26, ISNUMBER($M$7:M$26)),M13)*100</f>
        <v>57.099999999999994</v>
      </c>
    </row>
    <row r="14" spans="2:16" x14ac:dyDescent="0.35">
      <c r="B14" s="80" t="s">
        <v>432</v>
      </c>
      <c r="C14" s="82" t="s">
        <v>435</v>
      </c>
      <c r="D14" s="128">
        <f>VLOOKUP(B14,'Value -2 '!$D$3:$AC$23,26,FALSE)</f>
        <v>63.6</v>
      </c>
      <c r="E14" s="128">
        <f>VLOOKUP(B14,'Quality - 2'!$B$2:$S$22,18,FALSE)</f>
        <v>95.399999999999991</v>
      </c>
      <c r="F14" s="128">
        <f>VLOOKUP(B14,Safety!$B$4:$R$24,17,FALSE)</f>
        <v>81.8</v>
      </c>
      <c r="G14" s="134">
        <f t="shared" si="0"/>
        <v>80.266666666666666</v>
      </c>
      <c r="H14" s="134" cm="1">
        <f t="array" ref="H14">_xlfn.PERCENTRANK.EXC(_xlfn._xlws.FILTER($G$7:G$26, ISNUMBER($G$7:G$26)),G14)*100</f>
        <v>95.199999999999989</v>
      </c>
      <c r="I14" s="171">
        <f>VLOOKUP(B14,'LIQIDITY 2'!$A$3:$X$23,24,FALSE)</f>
        <v>13.600000000000001</v>
      </c>
      <c r="J14" s="126">
        <f ca="1">VLOOKUP(B14,'Momnetum ranking'!A:AJ,36,FALSE)</f>
        <v>27.200000000000003</v>
      </c>
      <c r="K14" s="173">
        <f>VLOOKUP(B14,'Momnetum ranking'!$A$3:$H$23,8,FALSE)</f>
        <v>0.26391752577319588</v>
      </c>
      <c r="L14" s="127">
        <f>VLOOKUP(B14,'Currency- 2'!$A$3:$U$23,21,FALSE)</f>
        <v>45.4</v>
      </c>
      <c r="M14" s="136">
        <f t="shared" ca="1" si="1"/>
        <v>42.217591999999996</v>
      </c>
      <c r="N14" s="127" cm="1">
        <f t="array" aca="1" ref="N14" ca="1">_xlfn.PERCENTRANK.EXC(_xlfn._xlws.FILTER($M$7:M$26, ISNUMBER($M$7:M$26)),M14)*100</f>
        <v>38</v>
      </c>
    </row>
    <row r="15" spans="2:16" x14ac:dyDescent="0.35">
      <c r="B15" s="80" t="s">
        <v>28</v>
      </c>
      <c r="C15" s="82" t="s">
        <v>443</v>
      </c>
      <c r="D15" s="128">
        <f>VLOOKUP(B15,'Value -2 '!$D$3:$AC$23,26,FALSE)</f>
        <v>95.399999999999991</v>
      </c>
      <c r="E15" s="128">
        <f>VLOOKUP(B15,'Quality - 2'!$B$2:$S$22,18,FALSE)</f>
        <v>4.5</v>
      </c>
      <c r="F15" s="128">
        <f>VLOOKUP(B15,Safety!$B$4:$R$24,17,FALSE)</f>
        <v>13.600000000000001</v>
      </c>
      <c r="G15" s="134">
        <f t="shared" si="0"/>
        <v>37.833333333333336</v>
      </c>
      <c r="H15" s="134" cm="1">
        <f t="array" ref="H15">_xlfn.PERCENTRANK.EXC(_xlfn._xlws.FILTER($G$7:G$26, ISNUMBER($G$7:G$26)),G15)*100</f>
        <v>28.499999999999996</v>
      </c>
      <c r="I15" s="171">
        <f>VLOOKUP(B15,'LIQIDITY 2'!$A$3:$X$23,24,FALSE)</f>
        <v>13.600000000000001</v>
      </c>
      <c r="J15" s="126">
        <f ca="1">VLOOKUP(B15,'Momnetum ranking'!A:AJ,36,FALSE)</f>
        <v>72.7</v>
      </c>
      <c r="K15" s="173">
        <f>VLOOKUP(B15,'Momnetum ranking'!$A$3:$H$23,8,FALSE)</f>
        <v>0.125</v>
      </c>
      <c r="L15" s="127">
        <f>VLOOKUP(B15,'Currency- 2'!$A$3:$U$23,21,FALSE)</f>
        <v>68.100000000000009</v>
      </c>
      <c r="M15" s="136">
        <f t="shared" ca="1" si="1"/>
        <v>49.958865000000003</v>
      </c>
      <c r="N15" s="127" cm="1">
        <f t="array" aca="1" ref="N15" ca="1">_xlfn.PERCENTRANK.EXC(_xlfn._xlws.FILTER($M$7:M$26, ISNUMBER($M$7:M$26)),M15)*100</f>
        <v>66.600000000000009</v>
      </c>
    </row>
    <row r="16" spans="2:16" x14ac:dyDescent="0.35">
      <c r="B16" s="80" t="s">
        <v>30</v>
      </c>
      <c r="C16" s="82" t="s">
        <v>438</v>
      </c>
      <c r="D16" s="128">
        <f>VLOOKUP(B16,'Value -2 '!$D$3:$AC$23,26,FALSE)</f>
        <v>59</v>
      </c>
      <c r="E16" s="128">
        <f>VLOOKUP(B16,'Quality - 2'!$B$2:$S$22,18,FALSE)</f>
        <v>68.100000000000009</v>
      </c>
      <c r="F16" s="128">
        <f>VLOOKUP(B16,Safety!$B$4:$R$24,17,FALSE)</f>
        <v>77.2</v>
      </c>
      <c r="G16" s="134">
        <f t="shared" si="0"/>
        <v>68.100000000000009</v>
      </c>
      <c r="H16" s="134" cm="1">
        <f t="array" ref="H16">_xlfn.PERCENTRANK.EXC(_xlfn._xlws.FILTER($G$7:G$26, ISNUMBER($G$7:G$26)),G16)*100</f>
        <v>90.4</v>
      </c>
      <c r="I16" s="171">
        <f>VLOOKUP(B16,'LIQIDITY 2'!$A$3:$X$23,24,FALSE)</f>
        <v>13.600000000000001</v>
      </c>
      <c r="J16" s="126">
        <f ca="1">VLOOKUP(B16,'Momnetum ranking'!A:AJ,36,FALSE)</f>
        <v>50</v>
      </c>
      <c r="K16" s="173">
        <f>VLOOKUP(B16,'Momnetum ranking'!$A$3:$H$23,8,FALSE)</f>
        <v>0.27272727272727271</v>
      </c>
      <c r="L16" s="127">
        <f>VLOOKUP(B16,'Currency- 2'!$A$3:$U$23,21,FALSE)</f>
        <v>18.099999999999998</v>
      </c>
      <c r="M16" s="136">
        <f t="shared" ca="1" si="1"/>
        <v>44.957957</v>
      </c>
      <c r="N16" s="127" cm="1">
        <f t="array" aca="1" ref="N16" ca="1">_xlfn.PERCENTRANK.EXC(_xlfn._xlws.FILTER($M$7:M$26, ISNUMBER($M$7:M$26)),M16)*100</f>
        <v>52.300000000000004</v>
      </c>
    </row>
    <row r="17" spans="2:14" x14ac:dyDescent="0.35">
      <c r="B17" s="80" t="s">
        <v>33</v>
      </c>
      <c r="C17" s="82" t="s">
        <v>441</v>
      </c>
      <c r="D17" s="128">
        <f>VLOOKUP(B17,'Value -2 '!$D$3:$AC$23,26,FALSE)</f>
        <v>13.600000000000001</v>
      </c>
      <c r="E17" s="128">
        <f>VLOOKUP(B17,'Quality - 2'!$B$2:$S$22,18,FALSE)</f>
        <v>59</v>
      </c>
      <c r="F17" s="128">
        <f>VLOOKUP(B17,Safety!$B$4:$R$24,17,FALSE)</f>
        <v>22.7</v>
      </c>
      <c r="G17" s="134">
        <f t="shared" si="0"/>
        <v>31.766666666666666</v>
      </c>
      <c r="H17" s="134" cm="1">
        <f t="array" ref="H17">_xlfn.PERCENTRANK.EXC(_xlfn._xlws.FILTER($G$7:G$26, ISNUMBER($G$7:G$26)),G17)*100</f>
        <v>19</v>
      </c>
      <c r="I17" s="171">
        <f>VLOOKUP(B17,'LIQIDITY 2'!$A$3:$X$23,24,FALSE)</f>
        <v>13.600000000000001</v>
      </c>
      <c r="J17" s="126">
        <f ca="1">VLOOKUP(B17,'Momnetum ranking'!A:AJ,36,FALSE)</f>
        <v>81.8</v>
      </c>
      <c r="K17" s="173">
        <f>VLOOKUP(B17,'Momnetum ranking'!$A$3:$H$23,8,FALSE)</f>
        <v>0.30303030303030304</v>
      </c>
      <c r="L17" s="127">
        <f>VLOOKUP(B17,'Currency- 2'!$A$3:$U$23,21,FALSE)</f>
        <v>81.8</v>
      </c>
      <c r="M17" s="136">
        <f t="shared" ca="1" si="1"/>
        <v>53.149046999999996</v>
      </c>
      <c r="N17" s="127" cm="1">
        <f t="array" aca="1" ref="N17" ca="1">_xlfn.PERCENTRANK.EXC(_xlfn._xlws.FILTER($M$7:M$26, ISNUMBER($M$7:M$26)),M17)*100</f>
        <v>76.099999999999994</v>
      </c>
    </row>
    <row r="18" spans="2:14" x14ac:dyDescent="0.35">
      <c r="B18" s="80" t="s">
        <v>36</v>
      </c>
      <c r="C18" s="82" t="s">
        <v>449</v>
      </c>
      <c r="D18" s="128">
        <f>VLOOKUP(B18,'Value -2 '!$D$3:$AC$23,26,FALSE)</f>
        <v>9</v>
      </c>
      <c r="E18" s="128">
        <f>VLOOKUP(B18,'Quality - 2'!$B$2:$S$22,18,FALSE)</f>
        <v>40.9</v>
      </c>
      <c r="F18" s="128">
        <f>VLOOKUP(B18,Safety!$B$4:$R$24,17,FALSE)</f>
        <v>90.9</v>
      </c>
      <c r="G18" s="134">
        <f t="shared" si="0"/>
        <v>46.933333333333344</v>
      </c>
      <c r="H18" s="134" cm="1">
        <f t="array" ref="H18">_xlfn.PERCENTRANK.EXC(_xlfn._xlws.FILTER($G$7:G$26, ISNUMBER($G$7:G$26)),G18)*100</f>
        <v>47.599999999999994</v>
      </c>
      <c r="I18" s="171">
        <f>VLOOKUP(B18,'LIQIDITY 2'!$A$3:$X$23,24,FALSE)</f>
        <v>13.600000000000001</v>
      </c>
      <c r="J18" s="126">
        <f ca="1">VLOOKUP(B18,'Momnetum ranking'!A:AJ,36,FALSE)</f>
        <v>40.9</v>
      </c>
      <c r="K18" s="173">
        <f>VLOOKUP(B18,'Momnetum ranking'!$A$3:$H$23,8,FALSE)</f>
        <v>0.15322580645161291</v>
      </c>
      <c r="L18" s="127">
        <f>VLOOKUP(B18,'Currency- 2'!$A$3:$U$23,21,FALSE)</f>
        <v>86.3</v>
      </c>
      <c r="M18" s="136">
        <f t="shared" ca="1" si="1"/>
        <v>41.788592000000001</v>
      </c>
      <c r="N18" s="127" cm="1">
        <f t="array" aca="1" ref="N18" ca="1">_xlfn.PERCENTRANK.EXC(_xlfn._xlws.FILTER($M$7:M$26, ISNUMBER($M$7:M$26)),M18)*100</f>
        <v>33.300000000000004</v>
      </c>
    </row>
    <row r="19" spans="2:14" x14ac:dyDescent="0.35">
      <c r="B19" s="80" t="s">
        <v>7</v>
      </c>
      <c r="C19" s="82" t="s">
        <v>53</v>
      </c>
      <c r="D19" s="128">
        <f>VLOOKUP(B19,'Value -2 '!$D$3:$AC$23,26,FALSE)</f>
        <v>22.7</v>
      </c>
      <c r="E19" s="128">
        <f>VLOOKUP(B19,'Quality - 2'!$B$2:$S$22,18,FALSE)</f>
        <v>59</v>
      </c>
      <c r="F19" s="128">
        <f>VLOOKUP(B19,Safety!$B$4:$R$24,17,FALSE)</f>
        <v>72.7</v>
      </c>
      <c r="G19" s="134">
        <f t="shared" si="0"/>
        <v>51.466666666666676</v>
      </c>
      <c r="H19" s="134" cm="1">
        <f t="array" ref="H19">_xlfn.PERCENTRANK.EXC(_xlfn._xlws.FILTER($G$7:G$26, ISNUMBER($G$7:G$26)),G19)*100</f>
        <v>57.099999999999994</v>
      </c>
      <c r="I19" s="171">
        <f>VLOOKUP(B19,'LIQIDITY 2'!$A$3:$X$23,24,FALSE)</f>
        <v>81.8</v>
      </c>
      <c r="J19" s="126">
        <f ca="1">VLOOKUP(B19,'Momnetum ranking'!A:AJ,36,FALSE)</f>
        <v>9</v>
      </c>
      <c r="K19" s="173">
        <f>VLOOKUP(B19,'Momnetum ranking'!$A$3:$H$23,8,FALSE)</f>
        <v>0.40909090909090912</v>
      </c>
      <c r="L19" s="127">
        <f>VLOOKUP(B19,'Currency- 2'!$A$3:$U$23,21,FALSE)</f>
        <v>22.7</v>
      </c>
      <c r="M19" s="136">
        <f t="shared" ca="1" si="1"/>
        <v>37.668456000000006</v>
      </c>
      <c r="N19" s="127" cm="1">
        <f t="array" aca="1" ref="N19" ca="1">_xlfn.PERCENTRANK.EXC(_xlfn._xlws.FILTER($M$7:M$26, ISNUMBER($M$7:M$26)),M19)*100</f>
        <v>19</v>
      </c>
    </row>
    <row r="20" spans="2:14" x14ac:dyDescent="0.35">
      <c r="B20" s="80" t="s">
        <v>29</v>
      </c>
      <c r="C20" s="82" t="s">
        <v>440</v>
      </c>
      <c r="D20" s="128">
        <f>VLOOKUP(B20,'Value -2 '!$D$3:$AC$23,26,FALSE)</f>
        <v>36.299999999999997</v>
      </c>
      <c r="E20" s="128">
        <f>VLOOKUP(B20,'Quality - 2'!$B$2:$S$22,18,FALSE)</f>
        <v>31.8</v>
      </c>
      <c r="F20" s="128">
        <f>VLOOKUP(B20,Safety!$B$4:$R$24,17,FALSE)</f>
        <v>22.7</v>
      </c>
      <c r="G20" s="134">
        <f t="shared" si="0"/>
        <v>30.266666666666669</v>
      </c>
      <c r="H20" s="134" cm="1">
        <f t="array" ref="H20">_xlfn.PERCENTRANK.EXC(_xlfn._xlws.FILTER($G$7:G$26, ISNUMBER($G$7:G$26)),G20)*100</f>
        <v>14.2</v>
      </c>
      <c r="I20" s="171">
        <f>VLOOKUP(B20,'LIQIDITY 2'!$A$3:$X$23,24,FALSE)</f>
        <v>86.3</v>
      </c>
      <c r="J20" s="126">
        <f ca="1">VLOOKUP(B20,'Momnetum ranking'!A:AJ,36,FALSE)</f>
        <v>63.6</v>
      </c>
      <c r="K20" s="173">
        <f>VLOOKUP(B20,'Momnetum ranking'!$A$3:$H$23,8,FALSE)</f>
        <v>0.42307692307692307</v>
      </c>
      <c r="L20" s="127">
        <f>VLOOKUP(B20,'Currency- 2'!$A$3:$U$23,21,FALSE)</f>
        <v>31.8</v>
      </c>
      <c r="M20" s="136">
        <f t="shared" ca="1" si="1"/>
        <v>54.959092000000005</v>
      </c>
      <c r="N20" s="127" cm="1">
        <f t="array" aca="1" ref="N20" ca="1">_xlfn.PERCENTRANK.EXC(_xlfn._xlws.FILTER($M$7:M$26, ISNUMBER($M$7:M$26)),M20)*100</f>
        <v>80.900000000000006</v>
      </c>
    </row>
    <row r="21" spans="2:14" x14ac:dyDescent="0.35">
      <c r="B21" s="80" t="s">
        <v>22</v>
      </c>
      <c r="C21" s="82" t="s">
        <v>442</v>
      </c>
      <c r="D21" s="128">
        <f>VLOOKUP(B21,'Value -2 '!$D$3:$AC$23,26,FALSE)</f>
        <v>31.8</v>
      </c>
      <c r="E21" s="128">
        <f>VLOOKUP(B21,'Quality - 2'!$B$2:$S$22,18,FALSE)</f>
        <v>13.600000000000001</v>
      </c>
      <c r="F21" s="128">
        <f>VLOOKUP(B21,Safety!$B$4:$R$24,17,FALSE)</f>
        <v>18.099999999999998</v>
      </c>
      <c r="G21" s="134">
        <f t="shared" si="0"/>
        <v>21.166666666666671</v>
      </c>
      <c r="H21" s="134" cm="1">
        <f t="array" ref="H21">_xlfn.PERCENTRANK.EXC(_xlfn._xlws.FILTER($G$7:G$26, ISNUMBER($G$7:G$26)),G21)*100</f>
        <v>4.7</v>
      </c>
      <c r="I21" s="171">
        <f>VLOOKUP(B21,'LIQIDITY 2'!$A$3:$X$23,24,FALSE)</f>
        <v>13.600000000000001</v>
      </c>
      <c r="J21" s="126">
        <f ca="1">VLOOKUP(B21,'Momnetum ranking'!A:AJ,36,FALSE)</f>
        <v>90.9</v>
      </c>
      <c r="K21" s="173">
        <f>VLOOKUP(B21,'Momnetum ranking'!$A$3:$H$23,8,FALSE)</f>
        <v>0.39393939393939392</v>
      </c>
      <c r="L21" s="127">
        <f>VLOOKUP(B21,'Currency- 2'!$A$3:$U$23,21,FALSE)</f>
        <v>36.299999999999997</v>
      </c>
      <c r="M21" s="136">
        <f t="shared" ca="1" si="1"/>
        <v>49.059365000000007</v>
      </c>
      <c r="N21" s="127" cm="1">
        <f t="array" aca="1" ref="N21" ca="1">_xlfn.PERCENTRANK.EXC(_xlfn._xlws.FILTER($M$7:M$26, ISNUMBER($M$7:M$26)),M21)*100</f>
        <v>61.9</v>
      </c>
    </row>
    <row r="22" spans="2:14" x14ac:dyDescent="0.35">
      <c r="B22" s="80" t="s">
        <v>37</v>
      </c>
      <c r="C22" s="82" t="s">
        <v>448</v>
      </c>
      <c r="D22" s="128">
        <f>VLOOKUP(B22,'Value -2 '!$D$3:$AC$23,26,FALSE)</f>
        <v>18.099999999999998</v>
      </c>
      <c r="E22" s="128">
        <f>VLOOKUP(B22,'Quality - 2'!$B$2:$S$22,18,FALSE)</f>
        <v>27.200000000000003</v>
      </c>
      <c r="F22" s="128">
        <f>VLOOKUP(B22,Safety!$B$4:$R$24,17,FALSE)</f>
        <v>45.4</v>
      </c>
      <c r="G22" s="134">
        <f t="shared" si="0"/>
        <v>30.233333333333334</v>
      </c>
      <c r="H22" s="134" cm="1">
        <f t="array" ref="H22">_xlfn.PERCENTRANK.EXC(_xlfn._xlws.FILTER($G$7:G$26, ISNUMBER($G$7:G$26)),G22)*100</f>
        <v>9.5</v>
      </c>
      <c r="I22" s="171">
        <f>VLOOKUP(B22,'LIQIDITY 2'!$A$3:$X$23,24,FALSE)</f>
        <v>86.3</v>
      </c>
      <c r="J22" s="126">
        <f ca="1">VLOOKUP(B22,'Momnetum ranking'!A:AJ,36,FALSE)</f>
        <v>13.600000000000001</v>
      </c>
      <c r="K22" s="173">
        <f>VLOOKUP(B22,'Momnetum ranking'!$A$3:$H$23,8,FALSE)</f>
        <v>0.16326530612244897</v>
      </c>
      <c r="L22" s="127">
        <f>VLOOKUP(B22,'Currency- 2'!$A$3:$U$23,21,FALSE)</f>
        <v>72.7</v>
      </c>
      <c r="M22" s="136">
        <f t="shared" ca="1" si="1"/>
        <v>39.039093000000001</v>
      </c>
      <c r="N22" s="127" cm="1">
        <f t="array" aca="1" ref="N22" ca="1">_xlfn.PERCENTRANK.EXC(_xlfn._xlws.FILTER($M$7:M$26, ISNUMBER($M$7:M$26)),M22)*100</f>
        <v>23.799999999999997</v>
      </c>
    </row>
    <row r="23" spans="2:14" x14ac:dyDescent="0.35">
      <c r="B23" s="80" t="s">
        <v>25</v>
      </c>
      <c r="C23" s="82" t="s">
        <v>446</v>
      </c>
      <c r="D23" s="128">
        <f>VLOOKUP(B23,'Value -2 '!$D$3:$AC$23,26,FALSE)</f>
        <v>54.500000000000007</v>
      </c>
      <c r="E23" s="128">
        <f>VLOOKUP(B23,'Quality - 2'!$B$2:$S$22,18,FALSE)</f>
        <v>54.500000000000007</v>
      </c>
      <c r="F23" s="128">
        <f>VLOOKUP(B23,Safety!$B$4:$R$24,17,FALSE)</f>
        <v>4.5</v>
      </c>
      <c r="G23" s="134">
        <f t="shared" si="0"/>
        <v>37.833333333333336</v>
      </c>
      <c r="H23" s="134" cm="1">
        <f t="array" ref="H23">_xlfn.PERCENTRANK.EXC(_xlfn._xlws.FILTER($G$7:G$26, ISNUMBER($G$7:G$26)),G23)*100</f>
        <v>28.499999999999996</v>
      </c>
      <c r="I23" s="171">
        <f>VLOOKUP(B23,'LIQIDITY 2'!$A$3:$X$23,24,FALSE)</f>
        <v>13.600000000000001</v>
      </c>
      <c r="J23" s="126">
        <f ca="1">VLOOKUP(B23,'Momnetum ranking'!A:AJ,36,FALSE)</f>
        <v>95.399999999999991</v>
      </c>
      <c r="K23" s="173">
        <f>VLOOKUP(B23,'Momnetum ranking'!$A$3:$H$23,8,FALSE)</f>
        <v>0.1134020618556701</v>
      </c>
      <c r="L23" s="127">
        <f>VLOOKUP(B23,'Currency- 2'!$A$3:$U$23,21,FALSE)</f>
        <v>4.5</v>
      </c>
      <c r="M23" s="136">
        <f t="shared" ca="1" si="1"/>
        <v>52.678865000000002</v>
      </c>
      <c r="N23" s="127" cm="1">
        <f t="array" aca="1" ref="N23" ca="1">_xlfn.PERCENTRANK.EXC(_xlfn._xlws.FILTER($M$7:M$26, ISNUMBER($M$7:M$26)),M23)*100</f>
        <v>71.399999999999991</v>
      </c>
    </row>
    <row r="24" spans="2:14" x14ac:dyDescent="0.35">
      <c r="B24" s="80" t="s">
        <v>27</v>
      </c>
      <c r="C24" s="82" t="s">
        <v>436</v>
      </c>
      <c r="D24" s="128">
        <f>VLOOKUP(B24,'Value -2 '!$D$3:$AC$23,26,FALSE)</f>
        <v>90.9</v>
      </c>
      <c r="E24" s="128">
        <f>VLOOKUP(B24,'Quality - 2'!$B$2:$S$22,18,FALSE)</f>
        <v>45.4</v>
      </c>
      <c r="F24" s="128">
        <f>VLOOKUP(B24,Safety!$B$4:$R$24,17,FALSE)</f>
        <v>63.6</v>
      </c>
      <c r="G24" s="134">
        <f t="shared" si="0"/>
        <v>66.63333333333334</v>
      </c>
      <c r="H24" s="134" cm="1">
        <f t="array" ref="H24">_xlfn.PERCENTRANK.EXC(_xlfn._xlws.FILTER($G$7:G$26, ISNUMBER($G$7:G$26)),G24)*100</f>
        <v>85.7</v>
      </c>
      <c r="I24" s="171">
        <f>VLOOKUP(B24,'LIQIDITY 2'!$A$3:$X$23,24,FALSE)</f>
        <v>13.600000000000001</v>
      </c>
      <c r="J24" s="126">
        <f ca="1">VLOOKUP(B24,'Momnetum ranking'!A:AJ,36,FALSE)</f>
        <v>31.8</v>
      </c>
      <c r="K24" s="173">
        <f>VLOOKUP(B24,'Momnetum ranking'!$A$3:$H$23,8,FALSE)</f>
        <v>0.4</v>
      </c>
      <c r="L24" s="127">
        <f>VLOOKUP(B24,'Currency- 2'!$A$3:$U$23,21,FALSE)</f>
        <v>13.600000000000001</v>
      </c>
      <c r="M24" s="136">
        <f t="shared" ca="1" si="1"/>
        <v>36.788001000000001</v>
      </c>
      <c r="N24" s="127" cm="1">
        <f t="array" aca="1" ref="N24" ca="1">_xlfn.PERCENTRANK.EXC(_xlfn._xlws.FILTER($M$7:M$26, ISNUMBER($M$7:M$26)),M24)*100</f>
        <v>14.2</v>
      </c>
    </row>
    <row r="25" spans="2:14" x14ac:dyDescent="0.35">
      <c r="B25" s="80" t="s">
        <v>31</v>
      </c>
      <c r="C25" s="82" t="s">
        <v>444</v>
      </c>
      <c r="D25" s="128">
        <f>VLOOKUP(B25,'Value -2 '!$D$3:$AC$23,26,FALSE)</f>
        <v>68.100000000000009</v>
      </c>
      <c r="E25" s="128">
        <f>VLOOKUP(B25,'Quality - 2'!$B$2:$S$22,18,FALSE)</f>
        <v>36.299999999999997</v>
      </c>
      <c r="F25" s="128">
        <f>VLOOKUP(B25,Safety!$B$4:$R$24,17,FALSE)</f>
        <v>54.500000000000007</v>
      </c>
      <c r="G25" s="134">
        <f t="shared" si="0"/>
        <v>52.966666666666676</v>
      </c>
      <c r="H25" s="134" cm="1">
        <f t="array" ref="H25">_xlfn.PERCENTRANK.EXC(_xlfn._xlws.FILTER($G$7:G$26, ISNUMBER($G$7:G$26)),G25)*100</f>
        <v>61.9</v>
      </c>
      <c r="I25" s="171">
        <f>VLOOKUP(B25,'LIQIDITY 2'!$A$3:$X$23,24,FALSE)</f>
        <v>4.5</v>
      </c>
      <c r="J25" s="126">
        <f ca="1">VLOOKUP(B25,'Momnetum ranking'!A:AJ,36,FALSE)</f>
        <v>36.299999999999997</v>
      </c>
      <c r="K25" s="173">
        <f>VLOOKUP(B25,'Momnetum ranking'!$A$3:$H$23,8,FALSE)</f>
        <v>8.5714285714285715E-2</v>
      </c>
      <c r="L25" s="127">
        <f>VLOOKUP(B25,'Currency- 2'!$A$3:$U$23,21,FALSE)</f>
        <v>95.399999999999991</v>
      </c>
      <c r="M25" s="136">
        <f t="shared" ca="1" si="1"/>
        <v>40.848410999999999</v>
      </c>
      <c r="N25" s="127" cm="1">
        <f t="array" aca="1" ref="N25" ca="1">_xlfn.PERCENTRANK.EXC(_xlfn._xlws.FILTER($M$7:M$26, ISNUMBER($M$7:M$26)),M25)*100</f>
        <v>28.499999999999996</v>
      </c>
    </row>
    <row r="26" spans="2:14" x14ac:dyDescent="0.35">
      <c r="B26" s="81" t="s">
        <v>35</v>
      </c>
      <c r="C26" s="83" t="s">
        <v>437</v>
      </c>
      <c r="D26" s="129">
        <f>VLOOKUP(B26,'Value -2 '!$D$3:$AC$23,26,FALSE)</f>
        <v>40.9</v>
      </c>
      <c r="E26" s="129">
        <f>VLOOKUP(B26,'Quality - 2'!$B$2:$S$22,18,FALSE)</f>
        <v>45.4</v>
      </c>
      <c r="F26" s="129">
        <f>VLOOKUP(B26,Safety!$B$4:$R$24,17,FALSE)</f>
        <v>86.3</v>
      </c>
      <c r="G26" s="135">
        <f t="shared" si="0"/>
        <v>57.533333333333339</v>
      </c>
      <c r="H26" s="135" cm="1">
        <f t="array" ref="H26">_xlfn.PERCENTRANK.EXC(_xlfn._xlws.FILTER($G$7:G$26, ISNUMBER($G$7:G$26)),G26)*100</f>
        <v>71.399999999999991</v>
      </c>
      <c r="I26" s="172">
        <f>VLOOKUP(B26,'LIQIDITY 2'!$A$3:$X$23,24,FALSE)</f>
        <v>13.600000000000001</v>
      </c>
      <c r="J26" s="130">
        <f ca="1">VLOOKUP(B26,'Momnetum ranking'!A:AJ,36,FALSE)</f>
        <v>22.7</v>
      </c>
      <c r="K26" s="174">
        <f>VLOOKUP(B26,'Momnetum ranking'!$A$3:$H$23,8,FALSE)</f>
        <v>0.29166666666666669</v>
      </c>
      <c r="L26" s="131">
        <f>VLOOKUP(B26,'Currency- 2'!$A$3:$U$23,21,FALSE)</f>
        <v>54.500000000000007</v>
      </c>
      <c r="M26" s="137">
        <f t="shared" ca="1" si="1"/>
        <v>34.508274</v>
      </c>
      <c r="N26" s="131" cm="1">
        <f t="array" aca="1" ref="N26" ca="1">_xlfn.PERCENTRANK.EXC(_xlfn._xlws.FILTER($M$7:M$26, ISNUMBER($M$7:M$26)),M26)*100</f>
        <v>9.5</v>
      </c>
    </row>
  </sheetData>
  <autoFilter ref="B6:N6" xr:uid="{529E9CE9-D88B-4C94-B4F6-F98AE1A97539}">
    <sortState xmlns:xlrd2="http://schemas.microsoft.com/office/spreadsheetml/2017/richdata2" ref="B7:N27">
      <sortCondition descending="1" ref="N6"/>
    </sortState>
  </autoFilter>
  <mergeCells count="9">
    <mergeCell ref="N4:N5"/>
    <mergeCell ref="L4:L5"/>
    <mergeCell ref="M4:M5"/>
    <mergeCell ref="B4:C5"/>
    <mergeCell ref="J4:K4"/>
    <mergeCell ref="I4:I5"/>
    <mergeCell ref="D4:F4"/>
    <mergeCell ref="G4:G5"/>
    <mergeCell ref="H4:H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1AE5F-A3AF-4A6D-851D-579992230606}">
  <dimension ref="B1:U30"/>
  <sheetViews>
    <sheetView topLeftCell="A2" zoomScale="82" zoomScaleNormal="82" workbookViewId="0">
      <selection activeCell="R12" sqref="R12"/>
    </sheetView>
  </sheetViews>
  <sheetFormatPr defaultRowHeight="14.5" x14ac:dyDescent="0.35"/>
  <cols>
    <col min="2" max="2" width="12.1796875" bestFit="1" customWidth="1"/>
    <col min="3" max="3" width="25.453125" customWidth="1"/>
    <col min="4" max="4" width="15.453125" customWidth="1"/>
    <col min="5" max="5" width="14.453125" customWidth="1"/>
    <col min="6" max="6" width="11.54296875" bestFit="1" customWidth="1"/>
    <col min="7" max="7" width="7.453125" bestFit="1" customWidth="1"/>
    <col min="8" max="8" width="10.1796875" bestFit="1" customWidth="1"/>
    <col min="9" max="9" width="11.453125" bestFit="1" customWidth="1"/>
    <col min="10" max="10" width="14.453125" hidden="1" customWidth="1"/>
    <col min="11" max="11" width="20.1796875" bestFit="1" customWidth="1"/>
    <col min="12" max="12" width="12" hidden="1" customWidth="1"/>
    <col min="13" max="13" width="15.453125" bestFit="1" customWidth="1"/>
    <col min="14" max="14" width="12.54296875" hidden="1" customWidth="1"/>
    <col min="15" max="15" width="18.453125" bestFit="1" customWidth="1"/>
    <col min="16" max="16" width="13.453125" hidden="1" customWidth="1"/>
    <col min="17" max="17" width="19.81640625" bestFit="1" customWidth="1"/>
    <col min="18" max="18" width="20.54296875" bestFit="1" customWidth="1"/>
    <col min="19" max="19" width="21.54296875" bestFit="1" customWidth="1"/>
  </cols>
  <sheetData>
    <row r="1" spans="2:21" ht="15" thickBot="1" x14ac:dyDescent="0.4"/>
    <row r="2" spans="2:21" x14ac:dyDescent="0.35">
      <c r="C2" s="140" t="s">
        <v>848</v>
      </c>
      <c r="D2" s="141">
        <v>0.5</v>
      </c>
      <c r="E2" s="65" t="s">
        <v>862</v>
      </c>
      <c r="F2" s="138">
        <v>0.1</v>
      </c>
      <c r="R2" s="159" t="s">
        <v>888</v>
      </c>
      <c r="S2" s="159" t="s">
        <v>888</v>
      </c>
    </row>
    <row r="3" spans="2:21" ht="15" thickBot="1" x14ac:dyDescent="0.4">
      <c r="C3" s="142" t="s">
        <v>849</v>
      </c>
      <c r="D3" s="143">
        <v>70</v>
      </c>
      <c r="E3" s="59" t="s">
        <v>850</v>
      </c>
      <c r="F3" s="61">
        <v>50</v>
      </c>
      <c r="R3" s="163">
        <f ca="1">COUNTIF(R9:R29,"&gt;0")</f>
        <v>0</v>
      </c>
      <c r="S3" s="163">
        <f ca="1">COUNTIF(S9:S29,"&gt;0")</f>
        <v>0</v>
      </c>
    </row>
    <row r="4" spans="2:21" ht="15" thickBot="1" x14ac:dyDescent="0.4">
      <c r="C4" s="142" t="s">
        <v>851</v>
      </c>
      <c r="D4" s="144">
        <v>0.3</v>
      </c>
      <c r="E4" s="59" t="s">
        <v>857</v>
      </c>
      <c r="F4" s="139">
        <v>0.1</v>
      </c>
    </row>
    <row r="5" spans="2:21" ht="15" thickBot="1" x14ac:dyDescent="0.4">
      <c r="C5" s="145" t="s">
        <v>852</v>
      </c>
      <c r="D5" s="146">
        <v>70</v>
      </c>
      <c r="E5" s="12" t="s">
        <v>849</v>
      </c>
      <c r="F5" s="14">
        <v>60</v>
      </c>
      <c r="Q5" s="65" t="s">
        <v>886</v>
      </c>
      <c r="R5" s="11"/>
    </row>
    <row r="6" spans="2:21" ht="15" thickBot="1" x14ac:dyDescent="0.4">
      <c r="Q6" s="12" t="s">
        <v>887</v>
      </c>
      <c r="R6" s="162">
        <v>0.01</v>
      </c>
    </row>
    <row r="7" spans="2:21" ht="15" thickBot="1" x14ac:dyDescent="0.4"/>
    <row r="8" spans="2:21" ht="15" thickBot="1" x14ac:dyDescent="0.4">
      <c r="B8" s="150" t="s">
        <v>853</v>
      </c>
      <c r="C8" s="151" t="s">
        <v>529</v>
      </c>
      <c r="D8" s="151" t="s">
        <v>555</v>
      </c>
      <c r="E8" s="151" t="s">
        <v>854</v>
      </c>
      <c r="F8" s="151" t="s">
        <v>554</v>
      </c>
      <c r="G8" s="151" t="s">
        <v>556</v>
      </c>
      <c r="H8" s="151" t="s">
        <v>557</v>
      </c>
      <c r="I8" s="151" t="s">
        <v>560</v>
      </c>
      <c r="J8" s="151" t="s">
        <v>858</v>
      </c>
      <c r="K8" s="151" t="s">
        <v>890</v>
      </c>
      <c r="L8" s="151" t="s">
        <v>859</v>
      </c>
      <c r="M8" s="151" t="s">
        <v>895</v>
      </c>
      <c r="N8" s="151" t="s">
        <v>860</v>
      </c>
      <c r="O8" s="151" t="s">
        <v>891</v>
      </c>
      <c r="P8" s="151" t="s">
        <v>861</v>
      </c>
      <c r="Q8" s="151" t="s">
        <v>892</v>
      </c>
      <c r="R8" s="151" t="s">
        <v>893</v>
      </c>
      <c r="S8" s="165" t="s">
        <v>894</v>
      </c>
    </row>
    <row r="9" spans="2:21" x14ac:dyDescent="0.35">
      <c r="B9" s="65" t="s">
        <v>432</v>
      </c>
      <c r="C9" s="10" t="str" cm="1">
        <f t="array" ref="C9">_xll.FDS(B9,"FG_COMPANY_NAME")</f>
        <v>iShares MSCI China A ETF</v>
      </c>
      <c r="D9" s="10" t="s">
        <v>615</v>
      </c>
      <c r="E9" s="175">
        <f>HLOOKUP(B9,'Monthly Returns'!$A$1:$V$139,139,FALSE)</f>
        <v>0.19382852581568802</v>
      </c>
      <c r="F9" s="10">
        <f ca="1">VLOOKUP(B9,OUTPUT_COUNTRY!$B$7:$N$26, 9, FALSE)</f>
        <v>27.200000000000003</v>
      </c>
      <c r="G9" s="176">
        <f>VLOOKUP(B9,OUTPUT_COUNTRY!$B$7:$N$26, 7, FALSE)</f>
        <v>95.199999999999989</v>
      </c>
      <c r="H9" s="10">
        <f>VLOOKUP(B9,OUTPUT_COUNTRY!$B$7:$N$26, 8, FALSE)</f>
        <v>13.600000000000001</v>
      </c>
      <c r="I9" s="10">
        <f>VLOOKUP(B9,OUTPUT_COUNTRY!$B$7:$N$26, 11, FALSE)</f>
        <v>45.4</v>
      </c>
      <c r="J9" s="176">
        <f t="shared" ref="J9:J29" ca="1" si="0">IF(F9&gt;=$D$3,1/E9,0)</f>
        <v>0</v>
      </c>
      <c r="K9" s="175" t="e">
        <f t="shared" ref="K9:K29" ca="1" si="1">J9/$J$30</f>
        <v>#N/A</v>
      </c>
      <c r="L9" s="10">
        <f t="shared" ref="L9:L29" si="2">IF(G9&gt;=$D$5,1/E9,0)</f>
        <v>5.159199327300783</v>
      </c>
      <c r="M9" s="175" t="e">
        <f t="shared" ref="M9:M29" si="3">L9/$L$30</f>
        <v>#N/A</v>
      </c>
      <c r="N9" s="10">
        <f>IF(H9&gt;=$F$3,1/E9,0)</f>
        <v>0</v>
      </c>
      <c r="O9" s="175" t="e">
        <f t="shared" ref="O9:O29" si="4">N9/$N$30</f>
        <v>#N/A</v>
      </c>
      <c r="P9" s="10">
        <f>IF(I9&gt;=$F$5,1/E9,0)</f>
        <v>0</v>
      </c>
      <c r="Q9" s="175" t="e">
        <f t="shared" ref="Q9:Q29" si="5">P9/$P$30</f>
        <v>#N/A</v>
      </c>
      <c r="R9" s="175" t="e">
        <f t="shared" ref="R9:R29" ca="1" si="6">IF($D$2*K9+$D$4*M9+$F$2*O9+$F$4*Q9 = 0,"",$D$2*K9+$D$4*M9+$F$2*O9+$F$4*Q9)</f>
        <v>#N/A</v>
      </c>
      <c r="S9" s="177" t="str">
        <f t="shared" ref="S9:S29" ca="1" si="7">IFERROR(IF(R9&gt;=$R$6, R9/SUMIF($R$9:$R$29,"&gt;="&amp;$R$6), ""),"")</f>
        <v/>
      </c>
      <c r="U9" s="52"/>
    </row>
    <row r="10" spans="2:21" x14ac:dyDescent="0.35">
      <c r="B10" s="59" t="s">
        <v>27</v>
      </c>
      <c r="C10" t="str" cm="1">
        <f t="array" ref="C10">_xll.FDS(B10,"FG_COMPANY_NAME")</f>
        <v>iShares MSCI Chile ETF</v>
      </c>
      <c r="D10" t="s">
        <v>614</v>
      </c>
      <c r="E10" s="147">
        <f>HLOOKUP(B10,'Monthly Returns'!$A$1:$V$139,139,FALSE)</f>
        <v>0.28322745103161073</v>
      </c>
      <c r="F10">
        <f ca="1">VLOOKUP(B10,OUTPUT_COUNTRY!$B$7:$N$26, 9, FALSE)</f>
        <v>31.8</v>
      </c>
      <c r="G10" s="47">
        <f>VLOOKUP(B10,OUTPUT_COUNTRY!$B$7:$N$26, 7, FALSE)</f>
        <v>85.7</v>
      </c>
      <c r="H10">
        <f>VLOOKUP(B10,OUTPUT_COUNTRY!$B$7:$N$26, 8, FALSE)</f>
        <v>13.600000000000001</v>
      </c>
      <c r="I10">
        <f>VLOOKUP(B10,OUTPUT_COUNTRY!$B$7:$N$26, 11, FALSE)</f>
        <v>13.600000000000001</v>
      </c>
      <c r="J10" s="47">
        <f t="shared" ca="1" si="0"/>
        <v>0</v>
      </c>
      <c r="K10" s="147" t="e">
        <f t="shared" ca="1" si="1"/>
        <v>#N/A</v>
      </c>
      <c r="L10">
        <f t="shared" si="2"/>
        <v>3.5307312068715788</v>
      </c>
      <c r="M10" s="147" t="e">
        <f t="shared" si="3"/>
        <v>#N/A</v>
      </c>
      <c r="N10">
        <f t="shared" ref="N10:N29" si="8">IF(H10&gt;=$F$3,1/E10,0)</f>
        <v>0</v>
      </c>
      <c r="O10" s="147" t="e">
        <f t="shared" si="4"/>
        <v>#N/A</v>
      </c>
      <c r="P10">
        <f t="shared" ref="P10:P29" si="9">IF(I10&gt;=$F$5,1/E10,0)</f>
        <v>0</v>
      </c>
      <c r="Q10" s="147" t="e">
        <f t="shared" si="5"/>
        <v>#N/A</v>
      </c>
      <c r="R10" s="147" t="e">
        <f t="shared" ca="1" si="6"/>
        <v>#N/A</v>
      </c>
      <c r="S10" s="166" t="str">
        <f t="shared" ca="1" si="7"/>
        <v/>
      </c>
      <c r="U10" s="52"/>
    </row>
    <row r="11" spans="2:21" x14ac:dyDescent="0.35">
      <c r="B11" s="59" t="s">
        <v>35</v>
      </c>
      <c r="C11" t="str" cm="1">
        <f t="array" ref="C11">_xll.FDS(B11,"FG_COMPANY_NAME")</f>
        <v>iShares MSCI Indonesia ETF</v>
      </c>
      <c r="D11" t="s">
        <v>651</v>
      </c>
      <c r="E11" s="147">
        <f>HLOOKUP(B11,'Monthly Returns'!$A$1:$V$139,139,FALSE)</f>
        <v>0.28602136334205608</v>
      </c>
      <c r="F11">
        <f ca="1">VLOOKUP(B11,OUTPUT_COUNTRY!$B$7:$N$26, 9, FALSE)</f>
        <v>22.7</v>
      </c>
      <c r="G11" s="47">
        <f>VLOOKUP(B11,OUTPUT_COUNTRY!$B$7:$N$26, 7, FALSE)</f>
        <v>71.399999999999991</v>
      </c>
      <c r="H11">
        <f>VLOOKUP(B11,OUTPUT_COUNTRY!$B$7:$N$26, 8, FALSE)</f>
        <v>13.600000000000001</v>
      </c>
      <c r="I11">
        <f>VLOOKUP(B11,OUTPUT_COUNTRY!$B$7:$N$26, 11, FALSE)</f>
        <v>54.500000000000007</v>
      </c>
      <c r="J11" s="47">
        <f t="shared" ca="1" si="0"/>
        <v>0</v>
      </c>
      <c r="K11" s="147" t="e">
        <f t="shared" ca="1" si="1"/>
        <v>#N/A</v>
      </c>
      <c r="L11">
        <f t="shared" si="2"/>
        <v>3.4962423376889125</v>
      </c>
      <c r="M11" s="147" t="e">
        <f t="shared" si="3"/>
        <v>#N/A</v>
      </c>
      <c r="N11">
        <f t="shared" si="8"/>
        <v>0</v>
      </c>
      <c r="O11" s="147" t="e">
        <f t="shared" si="4"/>
        <v>#N/A</v>
      </c>
      <c r="P11">
        <f t="shared" si="9"/>
        <v>0</v>
      </c>
      <c r="Q11" s="147" t="e">
        <f t="shared" si="5"/>
        <v>#N/A</v>
      </c>
      <c r="R11" s="147" t="e">
        <f t="shared" ca="1" si="6"/>
        <v>#N/A</v>
      </c>
      <c r="S11" s="166" t="str">
        <f t="shared" ca="1" si="7"/>
        <v/>
      </c>
      <c r="U11" s="52"/>
    </row>
    <row r="12" spans="2:21" x14ac:dyDescent="0.35">
      <c r="B12" s="59" t="s">
        <v>30</v>
      </c>
      <c r="C12" t="str" cm="1">
        <f t="array" ref="C12">_xll.FDS(B12,"FG_COMPANY_NAME")</f>
        <v>iShares MSCI Philippines ETF</v>
      </c>
      <c r="D12" t="s">
        <v>699</v>
      </c>
      <c r="E12" s="147">
        <f>HLOOKUP(B12,'Monthly Returns'!$A$1:$V$139,139,FALSE)</f>
        <v>0.26120788686230939</v>
      </c>
      <c r="F12">
        <f ca="1">VLOOKUP(B12,OUTPUT_COUNTRY!$B$7:$N$26, 9, FALSE)</f>
        <v>50</v>
      </c>
      <c r="G12" s="47">
        <f>VLOOKUP(B12,OUTPUT_COUNTRY!$B$7:$N$26, 7, FALSE)</f>
        <v>90.4</v>
      </c>
      <c r="H12">
        <f>VLOOKUP(B12,OUTPUT_COUNTRY!$B$7:$N$26, 8, FALSE)</f>
        <v>13.600000000000001</v>
      </c>
      <c r="I12">
        <f>VLOOKUP(B12,OUTPUT_COUNTRY!$B$7:$N$26, 11, FALSE)</f>
        <v>18.099999999999998</v>
      </c>
      <c r="J12" s="47">
        <f t="shared" ca="1" si="0"/>
        <v>0</v>
      </c>
      <c r="K12" s="147" t="e">
        <f t="shared" ca="1" si="1"/>
        <v>#N/A</v>
      </c>
      <c r="L12">
        <f t="shared" si="2"/>
        <v>3.8283683238367545</v>
      </c>
      <c r="M12" s="147" t="e">
        <f t="shared" si="3"/>
        <v>#N/A</v>
      </c>
      <c r="N12">
        <f t="shared" si="8"/>
        <v>0</v>
      </c>
      <c r="O12" s="147" t="e">
        <f t="shared" si="4"/>
        <v>#N/A</v>
      </c>
      <c r="P12">
        <f t="shared" si="9"/>
        <v>0</v>
      </c>
      <c r="Q12" s="147" t="e">
        <f t="shared" si="5"/>
        <v>#N/A</v>
      </c>
      <c r="R12" s="147" t="e">
        <f t="shared" ca="1" si="6"/>
        <v>#N/A</v>
      </c>
      <c r="S12" s="166" t="str">
        <f t="shared" ca="1" si="7"/>
        <v/>
      </c>
      <c r="U12" s="52"/>
    </row>
    <row r="13" spans="2:21" x14ac:dyDescent="0.35">
      <c r="B13" s="59" t="s">
        <v>23</v>
      </c>
      <c r="C13" t="str" cm="1">
        <f t="array" ref="C13">_xll.FDS(B13,"FG_COMPANY_NAME")</f>
        <v>iShares MSCI Poland ETF</v>
      </c>
      <c r="D13" t="s">
        <v>700</v>
      </c>
      <c r="E13" s="147">
        <f>HLOOKUP(B13,'Monthly Returns'!$A$1:$V$139,139,FALSE)</f>
        <v>0.31223906649630906</v>
      </c>
      <c r="F13">
        <f ca="1">VLOOKUP(B13,OUTPUT_COUNTRY!$B$7:$N$26, 9, FALSE)</f>
        <v>68.100000000000009</v>
      </c>
      <c r="G13" s="47">
        <f>VLOOKUP(B13,OUTPUT_COUNTRY!$B$7:$N$26, 7, FALSE)</f>
        <v>23.799999999999997</v>
      </c>
      <c r="H13">
        <f>VLOOKUP(B13,OUTPUT_COUNTRY!$B$7:$N$26, 8, FALSE)</f>
        <v>86.3</v>
      </c>
      <c r="I13">
        <f>VLOOKUP(B13,OUTPUT_COUNTRY!$B$7:$N$26, 11, FALSE)</f>
        <v>77.2</v>
      </c>
      <c r="J13" s="47">
        <f t="shared" ca="1" si="0"/>
        <v>0</v>
      </c>
      <c r="K13" s="147" t="e">
        <f t="shared" ca="1" si="1"/>
        <v>#N/A</v>
      </c>
      <c r="L13">
        <f t="shared" si="2"/>
        <v>0</v>
      </c>
      <c r="M13" s="147" t="e">
        <f t="shared" si="3"/>
        <v>#N/A</v>
      </c>
      <c r="N13">
        <f t="shared" si="8"/>
        <v>3.2026741919939119</v>
      </c>
      <c r="O13" s="147" t="e">
        <f t="shared" si="4"/>
        <v>#N/A</v>
      </c>
      <c r="P13">
        <f t="shared" si="9"/>
        <v>3.2026741919939119</v>
      </c>
      <c r="Q13" s="147" t="e">
        <f t="shared" si="5"/>
        <v>#N/A</v>
      </c>
      <c r="R13" s="147" t="e">
        <f t="shared" ca="1" si="6"/>
        <v>#N/A</v>
      </c>
      <c r="S13" s="166" t="str">
        <f t="shared" ca="1" si="7"/>
        <v/>
      </c>
      <c r="U13" s="52"/>
    </row>
    <row r="14" spans="2:21" x14ac:dyDescent="0.35">
      <c r="B14" s="59" t="s">
        <v>29</v>
      </c>
      <c r="C14" t="str" cm="1">
        <f t="array" ref="C14">_xll.FDS(B14,"FG_COMPANY_NAME")</f>
        <v>iShares MSCI Peru and Global Exposure ETF</v>
      </c>
      <c r="D14" t="s">
        <v>698</v>
      </c>
      <c r="E14" s="147">
        <f>HLOOKUP(B14,'Monthly Returns'!$A$1:$V$139,139,FALSE)</f>
        <v>0.28490861406740714</v>
      </c>
      <c r="F14">
        <f ca="1">VLOOKUP(B14,OUTPUT_COUNTRY!$B$7:$N$26, 9, FALSE)</f>
        <v>63.6</v>
      </c>
      <c r="G14" s="47">
        <f>VLOOKUP(B14,OUTPUT_COUNTRY!$B$7:$N$26, 7, FALSE)</f>
        <v>14.2</v>
      </c>
      <c r="H14">
        <f>VLOOKUP(B14,OUTPUT_COUNTRY!$B$7:$N$26, 8, FALSE)</f>
        <v>86.3</v>
      </c>
      <c r="I14">
        <f>VLOOKUP(B14,OUTPUT_COUNTRY!$B$7:$N$26, 11, FALSE)</f>
        <v>31.8</v>
      </c>
      <c r="J14" s="47">
        <f t="shared" ca="1" si="0"/>
        <v>0</v>
      </c>
      <c r="K14" s="147" t="e">
        <f t="shared" ca="1" si="1"/>
        <v>#N/A</v>
      </c>
      <c r="L14">
        <f t="shared" si="2"/>
        <v>0</v>
      </c>
      <c r="M14" s="147" t="e">
        <f t="shared" si="3"/>
        <v>#N/A</v>
      </c>
      <c r="N14">
        <f t="shared" si="8"/>
        <v>3.5098973868280718</v>
      </c>
      <c r="O14" s="147" t="e">
        <f t="shared" si="4"/>
        <v>#N/A</v>
      </c>
      <c r="P14">
        <f t="shared" si="9"/>
        <v>0</v>
      </c>
      <c r="Q14" s="147" t="e">
        <f t="shared" si="5"/>
        <v>#N/A</v>
      </c>
      <c r="R14" s="147" t="e">
        <f t="shared" ca="1" si="6"/>
        <v>#N/A</v>
      </c>
      <c r="S14" s="166" t="str">
        <f t="shared" ca="1" si="7"/>
        <v/>
      </c>
      <c r="U14" s="52"/>
    </row>
    <row r="15" spans="2:21" x14ac:dyDescent="0.35">
      <c r="B15" s="59" t="s">
        <v>33</v>
      </c>
      <c r="C15" t="str" cm="1">
        <f t="array" ref="C15">_xll.FDS(B15,"FG_COMPANY_NAME")</f>
        <v>iShares MSCI Malaysia ETF</v>
      </c>
      <c r="D15" t="s">
        <v>673</v>
      </c>
      <c r="E15" s="147">
        <f>HLOOKUP(B15,'Monthly Returns'!$A$1:$V$139,139,FALSE)</f>
        <v>0.1950456218078393</v>
      </c>
      <c r="F15">
        <f ca="1">VLOOKUP(B15,OUTPUT_COUNTRY!$B$7:$N$26, 9, FALSE)</f>
        <v>81.8</v>
      </c>
      <c r="G15" s="47">
        <f>VLOOKUP(B15,OUTPUT_COUNTRY!$B$7:$N$26, 7, FALSE)</f>
        <v>19</v>
      </c>
      <c r="H15">
        <f>VLOOKUP(B15,OUTPUT_COUNTRY!$B$7:$N$26, 8, FALSE)</f>
        <v>13.600000000000001</v>
      </c>
      <c r="I15">
        <f>VLOOKUP(B15,OUTPUT_COUNTRY!$B$7:$N$26, 11, FALSE)</f>
        <v>81.8</v>
      </c>
      <c r="J15" s="47">
        <f t="shared" ca="1" si="0"/>
        <v>5.127005624280093</v>
      </c>
      <c r="K15" s="147" t="e">
        <f t="shared" ca="1" si="1"/>
        <v>#N/A</v>
      </c>
      <c r="L15">
        <f t="shared" si="2"/>
        <v>0</v>
      </c>
      <c r="M15" s="147" t="e">
        <f t="shared" si="3"/>
        <v>#N/A</v>
      </c>
      <c r="N15">
        <f t="shared" si="8"/>
        <v>0</v>
      </c>
      <c r="O15" s="147" t="e">
        <f t="shared" si="4"/>
        <v>#N/A</v>
      </c>
      <c r="P15">
        <f t="shared" si="9"/>
        <v>5.127005624280093</v>
      </c>
      <c r="Q15" s="147" t="e">
        <f t="shared" si="5"/>
        <v>#N/A</v>
      </c>
      <c r="R15" s="147" t="e">
        <f t="shared" ca="1" si="6"/>
        <v>#N/A</v>
      </c>
      <c r="S15" s="166" t="str">
        <f t="shared" ca="1" si="7"/>
        <v/>
      </c>
      <c r="U15" s="52"/>
    </row>
    <row r="16" spans="2:21" x14ac:dyDescent="0.35">
      <c r="B16" s="59" t="s">
        <v>24</v>
      </c>
      <c r="C16" t="str" cm="1">
        <f t="array" ref="C16">_xll.FDS(B16,"FG_COMPANY_NAME")</f>
        <v>iShares MSCI Taiwan ETF</v>
      </c>
      <c r="D16" t="s">
        <v>720</v>
      </c>
      <c r="E16" s="147">
        <f>HLOOKUP(B16,'Monthly Returns'!$A$1:$V$139,139,FALSE)</f>
        <v>0.22559026612064767</v>
      </c>
      <c r="F16">
        <f ca="1">VLOOKUP(B16,OUTPUT_COUNTRY!$B$7:$N$26, 9, FALSE)</f>
        <v>77.2</v>
      </c>
      <c r="G16" s="47">
        <f>VLOOKUP(B16,OUTPUT_COUNTRY!$B$7:$N$26, 7, FALSE)</f>
        <v>76.099999999999994</v>
      </c>
      <c r="H16">
        <f>VLOOKUP(B16,OUTPUT_COUNTRY!$B$7:$N$26, 8, FALSE)</f>
        <v>13.600000000000001</v>
      </c>
      <c r="I16">
        <f>VLOOKUP(B16,OUTPUT_COUNTRY!$B$7:$N$26, 11, FALSE)</f>
        <v>40.9</v>
      </c>
      <c r="J16" s="47">
        <f t="shared" ca="1" si="0"/>
        <v>4.432815374512618</v>
      </c>
      <c r="K16" s="147" t="e">
        <f t="shared" ca="1" si="1"/>
        <v>#N/A</v>
      </c>
      <c r="L16">
        <f t="shared" si="2"/>
        <v>4.432815374512618</v>
      </c>
      <c r="M16" s="147" t="e">
        <f t="shared" si="3"/>
        <v>#N/A</v>
      </c>
      <c r="N16">
        <f t="shared" si="8"/>
        <v>0</v>
      </c>
      <c r="O16" s="147" t="e">
        <f t="shared" si="4"/>
        <v>#N/A</v>
      </c>
      <c r="P16">
        <f t="shared" si="9"/>
        <v>0</v>
      </c>
      <c r="Q16" s="147" t="e">
        <f t="shared" si="5"/>
        <v>#N/A</v>
      </c>
      <c r="R16" s="147" t="e">
        <f t="shared" ca="1" si="6"/>
        <v>#N/A</v>
      </c>
      <c r="S16" s="166" t="str">
        <f t="shared" ca="1" si="7"/>
        <v/>
      </c>
      <c r="U16" s="52"/>
    </row>
    <row r="17" spans="2:21" x14ac:dyDescent="0.35">
      <c r="B17" s="59" t="s">
        <v>7</v>
      </c>
      <c r="C17" t="str" cm="1">
        <f t="array" ref="C17">_xll.FDS(B17,"FG_COMPANY_NAME")</f>
        <v>iShares MSCI Mexico ETF</v>
      </c>
      <c r="D17" t="s">
        <v>678</v>
      </c>
      <c r="E17" s="147">
        <f>HLOOKUP(B17,'Monthly Returns'!$A$1:$V$139,139,FALSE)</f>
        <v>0.27767468749200092</v>
      </c>
      <c r="F17">
        <f ca="1">VLOOKUP(B17,OUTPUT_COUNTRY!$B$7:$N$26, 9, FALSE)</f>
        <v>9</v>
      </c>
      <c r="G17" s="47">
        <f>VLOOKUP(B17,OUTPUT_COUNTRY!$B$7:$N$26, 7, FALSE)</f>
        <v>57.099999999999994</v>
      </c>
      <c r="H17">
        <f>VLOOKUP(B17,OUTPUT_COUNTRY!$B$7:$N$26, 8, FALSE)</f>
        <v>81.8</v>
      </c>
      <c r="I17">
        <f>VLOOKUP(B17,OUTPUT_COUNTRY!$B$7:$N$26, 11, FALSE)</f>
        <v>22.7</v>
      </c>
      <c r="J17" s="47">
        <f t="shared" ca="1" si="0"/>
        <v>0</v>
      </c>
      <c r="K17" s="147" t="e">
        <f t="shared" ca="1" si="1"/>
        <v>#N/A</v>
      </c>
      <c r="L17">
        <f t="shared" si="2"/>
        <v>0</v>
      </c>
      <c r="M17" s="147" t="e">
        <f t="shared" si="3"/>
        <v>#N/A</v>
      </c>
      <c r="N17">
        <f t="shared" si="8"/>
        <v>3.6013365461293887</v>
      </c>
      <c r="O17" s="147" t="e">
        <f t="shared" si="4"/>
        <v>#N/A</v>
      </c>
      <c r="P17">
        <f t="shared" si="9"/>
        <v>0</v>
      </c>
      <c r="Q17" s="147" t="e">
        <f t="shared" si="5"/>
        <v>#N/A</v>
      </c>
      <c r="R17" s="147" t="e">
        <f t="shared" ca="1" si="6"/>
        <v>#N/A</v>
      </c>
      <c r="S17" s="166" t="str">
        <f t="shared" ca="1" si="7"/>
        <v/>
      </c>
      <c r="U17" s="52"/>
    </row>
    <row r="18" spans="2:21" x14ac:dyDescent="0.35">
      <c r="B18" s="59" t="s">
        <v>21</v>
      </c>
      <c r="C18" t="str" cm="1">
        <f t="array" ref="C18">_xll.FDS(B18,"FG_COMPANY_NAME")</f>
        <v>iShares MSCI South Korea ETF</v>
      </c>
      <c r="D18" t="s">
        <v>660</v>
      </c>
      <c r="E18" s="147">
        <f>HLOOKUP(B18,'Monthly Returns'!$A$1:$V$139,139,FALSE)</f>
        <v>0.27031200192852406</v>
      </c>
      <c r="F18">
        <f ca="1">VLOOKUP(B18,OUTPUT_COUNTRY!$B$7:$N$26, 9, FALSE)</f>
        <v>59</v>
      </c>
      <c r="G18" s="47">
        <f>VLOOKUP(B18,OUTPUT_COUNTRY!$B$7:$N$26, 7, FALSE)</f>
        <v>52.300000000000004</v>
      </c>
      <c r="H18">
        <f>VLOOKUP(B18,OUTPUT_COUNTRY!$B$7:$N$26, 8, FALSE)</f>
        <v>13.600000000000001</v>
      </c>
      <c r="I18">
        <f>VLOOKUP(B18,OUTPUT_COUNTRY!$B$7:$N$26, 11, FALSE)</f>
        <v>27.200000000000003</v>
      </c>
      <c r="J18" s="47">
        <f t="shared" ca="1" si="0"/>
        <v>0</v>
      </c>
      <c r="K18" s="147" t="e">
        <f t="shared" ca="1" si="1"/>
        <v>#N/A</v>
      </c>
      <c r="L18">
        <f t="shared" si="2"/>
        <v>0</v>
      </c>
      <c r="M18" s="147" t="e">
        <f t="shared" si="3"/>
        <v>#N/A</v>
      </c>
      <c r="N18">
        <f t="shared" si="8"/>
        <v>0</v>
      </c>
      <c r="O18" s="147" t="e">
        <f t="shared" si="4"/>
        <v>#N/A</v>
      </c>
      <c r="P18">
        <f t="shared" si="9"/>
        <v>0</v>
      </c>
      <c r="Q18" s="147" t="e">
        <f t="shared" si="5"/>
        <v>#N/A</v>
      </c>
      <c r="R18" s="147" t="e">
        <f t="shared" ca="1" si="6"/>
        <v>#N/A</v>
      </c>
      <c r="S18" s="166" t="str">
        <f t="shared" ca="1" si="7"/>
        <v/>
      </c>
      <c r="U18" s="52"/>
    </row>
    <row r="19" spans="2:21" x14ac:dyDescent="0.35">
      <c r="B19" s="59" t="s">
        <v>12</v>
      </c>
      <c r="C19" t="str" cm="1">
        <f t="array" ref="C19">_xll.FDS(B19,"FG_COMPANY_NAME")</f>
        <v>iShares MSCI Brazil ETF</v>
      </c>
      <c r="D19" t="s">
        <v>603</v>
      </c>
      <c r="E19" s="147">
        <f>HLOOKUP(B19,'Monthly Returns'!$A$1:$V$139,139,FALSE)</f>
        <v>0.35221901509746179</v>
      </c>
      <c r="F19">
        <f ca="1">VLOOKUP(B19,OUTPUT_COUNTRY!$B$7:$N$26, 9, FALSE)</f>
        <v>4.5</v>
      </c>
      <c r="G19" s="47">
        <f>VLOOKUP(B19,OUTPUT_COUNTRY!$B$7:$N$26, 7, FALSE)</f>
        <v>38</v>
      </c>
      <c r="H19">
        <f>VLOOKUP(B19,OUTPUT_COUNTRY!$B$7:$N$26, 8, FALSE)</f>
        <v>13.600000000000001</v>
      </c>
      <c r="I19">
        <f>VLOOKUP(B19,OUTPUT_COUNTRY!$B$7:$N$26, 11, FALSE)</f>
        <v>9</v>
      </c>
      <c r="J19" s="47">
        <f t="shared" ca="1" si="0"/>
        <v>0</v>
      </c>
      <c r="K19" s="147" t="e">
        <f t="shared" ca="1" si="1"/>
        <v>#N/A</v>
      </c>
      <c r="L19">
        <f t="shared" si="2"/>
        <v>0</v>
      </c>
      <c r="M19" s="147" t="e">
        <f t="shared" si="3"/>
        <v>#N/A</v>
      </c>
      <c r="N19">
        <f t="shared" si="8"/>
        <v>0</v>
      </c>
      <c r="O19" s="147" t="e">
        <f t="shared" si="4"/>
        <v>#N/A</v>
      </c>
      <c r="P19">
        <f t="shared" si="9"/>
        <v>0</v>
      </c>
      <c r="Q19" s="147" t="e">
        <f t="shared" si="5"/>
        <v>#N/A</v>
      </c>
      <c r="R19" s="147" t="e">
        <f t="shared" ca="1" si="6"/>
        <v>#N/A</v>
      </c>
      <c r="S19" s="166" t="str">
        <f t="shared" ca="1" si="7"/>
        <v/>
      </c>
      <c r="U19" s="52"/>
    </row>
    <row r="20" spans="2:21" x14ac:dyDescent="0.35">
      <c r="B20" s="59" t="s">
        <v>22</v>
      </c>
      <c r="C20" t="str" cm="1">
        <f t="array" ref="C20">_xll.FDS(B20,"FG_COMPANY_NAME")</f>
        <v>iShares MSCI South Africa ETF</v>
      </c>
      <c r="D20" t="s">
        <v>713</v>
      </c>
      <c r="E20" s="147">
        <f>HLOOKUP(B20,'Monthly Returns'!$A$1:$V$139,139,FALSE)</f>
        <v>0.29888893300338504</v>
      </c>
      <c r="F20">
        <f ca="1">VLOOKUP(B20,OUTPUT_COUNTRY!$B$7:$N$26, 9, FALSE)</f>
        <v>90.9</v>
      </c>
      <c r="G20" s="47">
        <f>VLOOKUP(B20,OUTPUT_COUNTRY!$B$7:$N$26, 7, FALSE)</f>
        <v>4.7</v>
      </c>
      <c r="H20">
        <f>VLOOKUP(B20,OUTPUT_COUNTRY!$B$7:$N$26, 8, FALSE)</f>
        <v>13.600000000000001</v>
      </c>
      <c r="I20">
        <f>VLOOKUP(B20,OUTPUT_COUNTRY!$B$7:$N$26, 11, FALSE)</f>
        <v>36.299999999999997</v>
      </c>
      <c r="J20" s="47">
        <f t="shared" ca="1" si="0"/>
        <v>3.3457244132511077</v>
      </c>
      <c r="K20" s="147" t="e">
        <f t="shared" ca="1" si="1"/>
        <v>#N/A</v>
      </c>
      <c r="L20">
        <f t="shared" si="2"/>
        <v>0</v>
      </c>
      <c r="M20" s="147" t="e">
        <f t="shared" si="3"/>
        <v>#N/A</v>
      </c>
      <c r="N20">
        <f t="shared" si="8"/>
        <v>0</v>
      </c>
      <c r="O20" s="147" t="e">
        <f t="shared" si="4"/>
        <v>#N/A</v>
      </c>
      <c r="P20">
        <f t="shared" si="9"/>
        <v>0</v>
      </c>
      <c r="Q20" s="147" t="e">
        <f t="shared" si="5"/>
        <v>#N/A</v>
      </c>
      <c r="R20" s="147" t="e">
        <f t="shared" ca="1" si="6"/>
        <v>#N/A</v>
      </c>
      <c r="S20" s="166" t="str">
        <f t="shared" ca="1" si="7"/>
        <v/>
      </c>
      <c r="U20" s="52"/>
    </row>
    <row r="21" spans="2:21" x14ac:dyDescent="0.35">
      <c r="B21" s="59" t="s">
        <v>28</v>
      </c>
      <c r="C21" t="str" cm="1">
        <f t="array" ref="C21">_xll.FDS(B21,"FG_COMPANY_NAME")</f>
        <v>Global X MSCI Greece ETF</v>
      </c>
      <c r="D21" t="s">
        <v>640</v>
      </c>
      <c r="E21" s="147">
        <f>HLOOKUP(B21,'Monthly Returns'!$A$1:$V$139,139,FALSE)</f>
        <v>0.32078109511899905</v>
      </c>
      <c r="F21">
        <f ca="1">VLOOKUP(B21,OUTPUT_COUNTRY!$B$7:$N$26, 9, FALSE)</f>
        <v>72.7</v>
      </c>
      <c r="G21" s="47">
        <f>VLOOKUP(B21,OUTPUT_COUNTRY!$B$7:$N$26, 7, FALSE)</f>
        <v>28.499999999999996</v>
      </c>
      <c r="H21">
        <f>VLOOKUP(B21,OUTPUT_COUNTRY!$B$7:$N$26, 8, FALSE)</f>
        <v>13.600000000000001</v>
      </c>
      <c r="I21">
        <f>VLOOKUP(B21,OUTPUT_COUNTRY!$B$7:$N$26, 11, FALSE)</f>
        <v>68.100000000000009</v>
      </c>
      <c r="J21" s="47">
        <f t="shared" ca="1" si="0"/>
        <v>3.1173906917084171</v>
      </c>
      <c r="K21" s="147" t="e">
        <f t="shared" ca="1" si="1"/>
        <v>#N/A</v>
      </c>
      <c r="L21">
        <f t="shared" si="2"/>
        <v>0</v>
      </c>
      <c r="M21" s="147" t="e">
        <f t="shared" si="3"/>
        <v>#N/A</v>
      </c>
      <c r="N21">
        <f t="shared" si="8"/>
        <v>0</v>
      </c>
      <c r="O21" s="147" t="e">
        <f t="shared" si="4"/>
        <v>#N/A</v>
      </c>
      <c r="P21">
        <f t="shared" si="9"/>
        <v>3.1173906917084171</v>
      </c>
      <c r="Q21" s="147" t="e">
        <f t="shared" si="5"/>
        <v>#N/A</v>
      </c>
      <c r="R21" s="147" t="e">
        <f t="shared" ca="1" si="6"/>
        <v>#N/A</v>
      </c>
      <c r="S21" s="166" t="str">
        <f t="shared" ca="1" si="7"/>
        <v/>
      </c>
      <c r="U21" s="52"/>
    </row>
    <row r="22" spans="2:21" x14ac:dyDescent="0.35">
      <c r="B22" s="59" t="s">
        <v>32</v>
      </c>
      <c r="C22" t="str" cm="1">
        <f t="array" ref="C22">_xll.FDS(B22,"FG_COMPANY_NAME")</f>
        <v>iShares MSCI India ETF</v>
      </c>
      <c r="D22" t="s">
        <v>650</v>
      </c>
      <c r="E22" s="147">
        <f>HLOOKUP(B22,'Monthly Returns'!$A$1:$V$139,139,FALSE)</f>
        <v>0.2200561012526886</v>
      </c>
      <c r="F22">
        <f ca="1">VLOOKUP(B22,OUTPUT_COUNTRY!$B$7:$N$26, 9, FALSE)</f>
        <v>86.3</v>
      </c>
      <c r="G22" s="47">
        <f>VLOOKUP(B22,OUTPUT_COUNTRY!$B$7:$N$26, 7, FALSE)</f>
        <v>38</v>
      </c>
      <c r="H22">
        <f>VLOOKUP(B22,OUTPUT_COUNTRY!$B$7:$N$26, 8, FALSE)</f>
        <v>13.600000000000001</v>
      </c>
      <c r="I22">
        <f>VLOOKUP(B22,OUTPUT_COUNTRY!$B$7:$N$26, 11, FALSE)</f>
        <v>59</v>
      </c>
      <c r="J22" s="47">
        <f t="shared" ca="1" si="0"/>
        <v>4.5442957241694852</v>
      </c>
      <c r="K22" s="147" t="e">
        <f t="shared" ca="1" si="1"/>
        <v>#N/A</v>
      </c>
      <c r="L22">
        <f t="shared" si="2"/>
        <v>0</v>
      </c>
      <c r="M22" s="147" t="e">
        <f t="shared" si="3"/>
        <v>#N/A</v>
      </c>
      <c r="N22">
        <f t="shared" si="8"/>
        <v>0</v>
      </c>
      <c r="O22" s="147" t="e">
        <f t="shared" si="4"/>
        <v>#N/A</v>
      </c>
      <c r="P22">
        <f t="shared" si="9"/>
        <v>0</v>
      </c>
      <c r="Q22" s="147" t="e">
        <f t="shared" si="5"/>
        <v>#N/A</v>
      </c>
      <c r="R22" s="147" t="e">
        <f t="shared" ca="1" si="6"/>
        <v>#N/A</v>
      </c>
      <c r="S22" s="166" t="str">
        <f t="shared" ca="1" si="7"/>
        <v/>
      </c>
      <c r="U22" s="52"/>
    </row>
    <row r="23" spans="2:21" x14ac:dyDescent="0.35">
      <c r="B23" s="59" t="s">
        <v>26</v>
      </c>
      <c r="C23" t="str" cm="1">
        <f t="array" ref="C23">_xll.FDS(B23,"FG_COMPANY_NAME")</f>
        <v>iShares MSCI China ETF</v>
      </c>
      <c r="D23" t="s">
        <v>615</v>
      </c>
      <c r="E23" s="147">
        <f>HLOOKUP(B23,'Monthly Returns'!$A$1:$V$139,139,FALSE)</f>
        <v>0.24510715455468676</v>
      </c>
      <c r="F23">
        <f ca="1">VLOOKUP(B23,OUTPUT_COUNTRY!$B$7:$N$26, 9, FALSE)</f>
        <v>54.500000000000007</v>
      </c>
      <c r="G23" s="47">
        <f>VLOOKUP(B23,OUTPUT_COUNTRY!$B$7:$N$26, 7, FALSE)</f>
        <v>80.900000000000006</v>
      </c>
      <c r="H23">
        <f>VLOOKUP(B23,OUTPUT_COUNTRY!$B$7:$N$26, 8, FALSE)</f>
        <v>13.600000000000001</v>
      </c>
      <c r="I23">
        <f>VLOOKUP(B23,OUTPUT_COUNTRY!$B$7:$N$26, 11, FALSE)</f>
        <v>45.4</v>
      </c>
      <c r="J23" s="47">
        <f t="shared" ca="1" si="0"/>
        <v>0</v>
      </c>
      <c r="K23" s="147" t="e">
        <f t="shared" ca="1" si="1"/>
        <v>#N/A</v>
      </c>
      <c r="L23">
        <f t="shared" si="2"/>
        <v>4.079848268063861</v>
      </c>
      <c r="M23" s="147" t="e">
        <f t="shared" si="3"/>
        <v>#N/A</v>
      </c>
      <c r="N23">
        <f t="shared" si="8"/>
        <v>0</v>
      </c>
      <c r="O23" s="147" t="e">
        <f t="shared" si="4"/>
        <v>#N/A</v>
      </c>
      <c r="P23">
        <f t="shared" si="9"/>
        <v>0</v>
      </c>
      <c r="Q23" s="147" t="e">
        <f t="shared" si="5"/>
        <v>#N/A</v>
      </c>
      <c r="R23" s="147" t="e">
        <f t="shared" ca="1" si="6"/>
        <v>#N/A</v>
      </c>
      <c r="S23" s="166" t="str">
        <f t="shared" ca="1" si="7"/>
        <v/>
      </c>
      <c r="U23" s="52"/>
    </row>
    <row r="24" spans="2:21" x14ac:dyDescent="0.35">
      <c r="B24" s="59" t="s">
        <v>31</v>
      </c>
      <c r="C24" t="str" cm="1">
        <f t="array" ref="C24">_xll.FDS(B24,"FG_COMPANY_NAME")</f>
        <v>iShares MSCI Qatar ETF</v>
      </c>
      <c r="D24" t="s">
        <v>702</v>
      </c>
      <c r="E24" s="147">
        <f>HLOOKUP(B24,'Monthly Returns'!$A$1:$V$139,139,FALSE)</f>
        <v>0.17434841935014314</v>
      </c>
      <c r="F24">
        <f ca="1">VLOOKUP(B24,OUTPUT_COUNTRY!$B$7:$N$26, 9, FALSE)</f>
        <v>36.299999999999997</v>
      </c>
      <c r="G24" s="47">
        <f>VLOOKUP(B24,OUTPUT_COUNTRY!$B$7:$N$26, 7, FALSE)</f>
        <v>61.9</v>
      </c>
      <c r="H24">
        <f>VLOOKUP(B24,OUTPUT_COUNTRY!$B$7:$N$26, 8, FALSE)</f>
        <v>4.5</v>
      </c>
      <c r="I24">
        <f>VLOOKUP(B24,OUTPUT_COUNTRY!$B$7:$N$26, 11, FALSE)</f>
        <v>95.399999999999991</v>
      </c>
      <c r="J24" s="47">
        <f t="shared" ca="1" si="0"/>
        <v>0</v>
      </c>
      <c r="K24" s="147" t="e">
        <f t="shared" ca="1" si="1"/>
        <v>#N/A</v>
      </c>
      <c r="L24">
        <f t="shared" si="2"/>
        <v>0</v>
      </c>
      <c r="M24" s="147" t="e">
        <f t="shared" si="3"/>
        <v>#N/A</v>
      </c>
      <c r="N24">
        <f t="shared" si="8"/>
        <v>0</v>
      </c>
      <c r="O24" s="147" t="e">
        <f t="shared" si="4"/>
        <v>#N/A</v>
      </c>
      <c r="P24">
        <f t="shared" si="9"/>
        <v>5.7356413308898686</v>
      </c>
      <c r="Q24" s="147" t="e">
        <f t="shared" si="5"/>
        <v>#N/A</v>
      </c>
      <c r="R24" s="147" t="e">
        <f t="shared" ca="1" si="6"/>
        <v>#N/A</v>
      </c>
      <c r="S24" s="166" t="str">
        <f t="shared" ca="1" si="7"/>
        <v/>
      </c>
      <c r="U24" s="52"/>
    </row>
    <row r="25" spans="2:21" x14ac:dyDescent="0.35">
      <c r="B25" s="59" t="s">
        <v>757</v>
      </c>
      <c r="C25" t="str" cm="1">
        <f t="array" ref="C25">_xll.FDS(B25,"FG_COMPANY_NAME")</f>
        <v>Thailand SET</v>
      </c>
      <c r="D25" t="s">
        <v>723</v>
      </c>
      <c r="E25" s="147">
        <f>HLOOKUP(B25,'Monthly Returns'!$A$1:$V$139,139,FALSE)</f>
        <v>0.18464992397561267</v>
      </c>
      <c r="F25" t="e">
        <f>VLOOKUP(B25,OUTPUT_COUNTRY!$B$7:$N$26, 9, FALSE)</f>
        <v>#N/A</v>
      </c>
      <c r="G25" s="47" t="e">
        <f>VLOOKUP(B25,OUTPUT_COUNTRY!$B$7:$N$26, 7, FALSE)</f>
        <v>#N/A</v>
      </c>
      <c r="H25" t="e">
        <f>VLOOKUP(B25,OUTPUT_COUNTRY!$B$7:$N$26, 8, FALSE)</f>
        <v>#N/A</v>
      </c>
      <c r="I25" t="e">
        <f>VLOOKUP(B25,OUTPUT_COUNTRY!$B$7:$N$26, 11, FALSE)</f>
        <v>#N/A</v>
      </c>
      <c r="J25" s="47" t="e">
        <f t="shared" si="0"/>
        <v>#N/A</v>
      </c>
      <c r="K25" s="147" t="e">
        <f t="shared" ca="1" si="1"/>
        <v>#N/A</v>
      </c>
      <c r="L25" t="e">
        <f t="shared" si="2"/>
        <v>#N/A</v>
      </c>
      <c r="M25" s="147" t="e">
        <f t="shared" si="3"/>
        <v>#N/A</v>
      </c>
      <c r="N25" t="e">
        <f t="shared" si="8"/>
        <v>#N/A</v>
      </c>
      <c r="O25" s="147" t="e">
        <f t="shared" si="4"/>
        <v>#N/A</v>
      </c>
      <c r="P25" t="e">
        <f t="shared" si="9"/>
        <v>#N/A</v>
      </c>
      <c r="Q25" s="147" t="e">
        <f t="shared" si="5"/>
        <v>#N/A</v>
      </c>
      <c r="R25" s="147" t="e">
        <f t="shared" ca="1" si="6"/>
        <v>#N/A</v>
      </c>
      <c r="S25" s="166" t="str">
        <f t="shared" ca="1" si="7"/>
        <v/>
      </c>
      <c r="U25" s="52"/>
    </row>
    <row r="26" spans="2:21" x14ac:dyDescent="0.35">
      <c r="B26" s="59" t="s">
        <v>25</v>
      </c>
      <c r="C26" t="str" cm="1">
        <f t="array" ref="C26">_xll.FDS(B26,"FG_COMPANY_NAME")</f>
        <v>iShares MSCI Turkey ETF</v>
      </c>
      <c r="D26" t="s">
        <v>727</v>
      </c>
      <c r="E26" s="147">
        <f>HLOOKUP(B26,'Monthly Returns'!$A$1:$V$139,139,FALSE)</f>
        <v>0.35280331769227646</v>
      </c>
      <c r="F26">
        <f ca="1">VLOOKUP(B26,OUTPUT_COUNTRY!$B$7:$N$26, 9, FALSE)</f>
        <v>95.399999999999991</v>
      </c>
      <c r="G26" s="47">
        <f>VLOOKUP(B26,OUTPUT_COUNTRY!$B$7:$N$26, 7, FALSE)</f>
        <v>28.499999999999996</v>
      </c>
      <c r="H26">
        <f>VLOOKUP(B26,OUTPUT_COUNTRY!$B$7:$N$26, 8, FALSE)</f>
        <v>13.600000000000001</v>
      </c>
      <c r="I26">
        <f>VLOOKUP(B26,OUTPUT_COUNTRY!$B$7:$N$26, 11, FALSE)</f>
        <v>4.5</v>
      </c>
      <c r="J26" s="47">
        <f t="shared" ca="1" si="0"/>
        <v>2.8344404654159856</v>
      </c>
      <c r="K26" s="147" t="e">
        <f t="shared" ca="1" si="1"/>
        <v>#N/A</v>
      </c>
      <c r="L26">
        <f t="shared" si="2"/>
        <v>0</v>
      </c>
      <c r="M26" s="147" t="e">
        <f t="shared" si="3"/>
        <v>#N/A</v>
      </c>
      <c r="N26">
        <f t="shared" si="8"/>
        <v>0</v>
      </c>
      <c r="O26" s="147" t="e">
        <f t="shared" si="4"/>
        <v>#N/A</v>
      </c>
      <c r="P26">
        <f t="shared" si="9"/>
        <v>0</v>
      </c>
      <c r="Q26" s="147" t="e">
        <f t="shared" si="5"/>
        <v>#N/A</v>
      </c>
      <c r="R26" s="147" t="e">
        <f t="shared" ca="1" si="6"/>
        <v>#N/A</v>
      </c>
      <c r="S26" s="166" t="str">
        <f t="shared" ca="1" si="7"/>
        <v/>
      </c>
      <c r="U26" s="52"/>
    </row>
    <row r="27" spans="2:21" x14ac:dyDescent="0.35">
      <c r="B27" s="59" t="s">
        <v>34</v>
      </c>
      <c r="C27" t="str" cm="1">
        <f t="array" ref="C27">_xll.FDS(B27,"FG_COMPANY_NAME")</f>
        <v>iShares MSCI UAE ETF</v>
      </c>
      <c r="D27" t="s">
        <v>731</v>
      </c>
      <c r="E27" s="147">
        <f>HLOOKUP(B27,'Monthly Returns'!$A$1:$V$139,139,FALSE)</f>
        <v>0.20292401150849138</v>
      </c>
      <c r="F27">
        <f ca="1">VLOOKUP(B27,OUTPUT_COUNTRY!$B$7:$N$26, 9, FALSE)</f>
        <v>45.4</v>
      </c>
      <c r="G27" s="47">
        <f>VLOOKUP(B27,OUTPUT_COUNTRY!$B$7:$N$26, 7, FALSE)</f>
        <v>66.600000000000009</v>
      </c>
      <c r="H27">
        <f>VLOOKUP(B27,OUTPUT_COUNTRY!$B$7:$N$26, 8, FALSE)</f>
        <v>4.5</v>
      </c>
      <c r="I27">
        <f>VLOOKUP(B27,OUTPUT_COUNTRY!$B$7:$N$26, 11, FALSE)</f>
        <v>90.9</v>
      </c>
      <c r="J27" s="47">
        <f t="shared" ca="1" si="0"/>
        <v>0</v>
      </c>
      <c r="K27" s="147" t="e">
        <f t="shared" ca="1" si="1"/>
        <v>#N/A</v>
      </c>
      <c r="L27">
        <f t="shared" si="2"/>
        <v>0</v>
      </c>
      <c r="M27" s="147" t="e">
        <f t="shared" si="3"/>
        <v>#N/A</v>
      </c>
      <c r="N27">
        <f t="shared" si="8"/>
        <v>0</v>
      </c>
      <c r="O27" s="147" t="e">
        <f t="shared" si="4"/>
        <v>#N/A</v>
      </c>
      <c r="P27">
        <f t="shared" si="9"/>
        <v>4.9279530429456093</v>
      </c>
      <c r="Q27" s="147" t="e">
        <f t="shared" si="5"/>
        <v>#N/A</v>
      </c>
      <c r="R27" s="147" t="e">
        <f t="shared" ca="1" si="6"/>
        <v>#N/A</v>
      </c>
      <c r="S27" s="166" t="str">
        <f t="shared" ca="1" si="7"/>
        <v/>
      </c>
      <c r="U27" s="52"/>
    </row>
    <row r="28" spans="2:21" x14ac:dyDescent="0.35">
      <c r="B28" s="59" t="s">
        <v>37</v>
      </c>
      <c r="C28" t="str" cm="1">
        <f t="array" ref="C28">_xll.FDS(B28,"FG_COMPANY_NAME")</f>
        <v>VanEck Vietnam ETF</v>
      </c>
      <c r="D28" t="s">
        <v>736</v>
      </c>
      <c r="E28" s="147">
        <f>HLOOKUP(B28,'Monthly Returns'!$A$1:$V$139,139,FALSE)</f>
        <v>0.23374315406099136</v>
      </c>
      <c r="F28">
        <f ca="1">VLOOKUP(B28,OUTPUT_COUNTRY!$B$7:$N$26, 9, FALSE)</f>
        <v>13.600000000000001</v>
      </c>
      <c r="G28" s="47">
        <f>VLOOKUP(B28,OUTPUT_COUNTRY!$B$7:$N$26, 7, FALSE)</f>
        <v>9.5</v>
      </c>
      <c r="H28">
        <f>VLOOKUP(B28,OUTPUT_COUNTRY!$B$7:$N$26, 8, FALSE)</f>
        <v>86.3</v>
      </c>
      <c r="I28">
        <f>VLOOKUP(B28,OUTPUT_COUNTRY!$B$7:$N$26, 11, FALSE)</f>
        <v>72.7</v>
      </c>
      <c r="J28" s="47">
        <f t="shared" ca="1" si="0"/>
        <v>0</v>
      </c>
      <c r="K28" s="147" t="e">
        <f t="shared" ca="1" si="1"/>
        <v>#N/A</v>
      </c>
      <c r="L28">
        <f t="shared" si="2"/>
        <v>0</v>
      </c>
      <c r="M28" s="147" t="e">
        <f t="shared" si="3"/>
        <v>#N/A</v>
      </c>
      <c r="N28">
        <f t="shared" si="8"/>
        <v>4.2782001638390952</v>
      </c>
      <c r="O28" s="147" t="e">
        <f t="shared" si="4"/>
        <v>#N/A</v>
      </c>
      <c r="P28">
        <f t="shared" si="9"/>
        <v>4.2782001638390952</v>
      </c>
      <c r="Q28" s="147" t="e">
        <f t="shared" si="5"/>
        <v>#N/A</v>
      </c>
      <c r="R28" s="147" t="e">
        <f t="shared" ca="1" si="6"/>
        <v>#N/A</v>
      </c>
      <c r="S28" s="166" t="str">
        <f t="shared" ca="1" si="7"/>
        <v/>
      </c>
      <c r="U28" s="52"/>
    </row>
    <row r="29" spans="2:21" ht="15" thickBot="1" x14ac:dyDescent="0.4">
      <c r="B29" s="12" t="s">
        <v>36</v>
      </c>
      <c r="C29" s="13" t="str" cm="1">
        <f t="array" ref="C29">_xll.FDS(B29,"FG_COMPANY_NAME")</f>
        <v>iShares MSCI Saudi Arabia ETF</v>
      </c>
      <c r="D29" s="13" t="s">
        <v>706</v>
      </c>
      <c r="E29" s="148">
        <f>HLOOKUP(B29,'Monthly Returns'!$A$1:$V$139,139,FALSE)</f>
        <v>0.19237139630169969</v>
      </c>
      <c r="F29" s="13">
        <f ca="1">VLOOKUP(B29,OUTPUT_COUNTRY!$B$7:$N$26, 9, FALSE)</f>
        <v>40.9</v>
      </c>
      <c r="G29" s="149">
        <f>VLOOKUP(B29,OUTPUT_COUNTRY!$B$7:$N$26, 7, FALSE)</f>
        <v>47.599999999999994</v>
      </c>
      <c r="H29" s="13">
        <f>VLOOKUP(B29,OUTPUT_COUNTRY!$B$7:$N$26, 8, FALSE)</f>
        <v>13.600000000000001</v>
      </c>
      <c r="I29" s="13">
        <f>VLOOKUP(B29,OUTPUT_COUNTRY!$B$7:$N$26, 11, FALSE)</f>
        <v>86.3</v>
      </c>
      <c r="J29" s="149">
        <f t="shared" ca="1" si="0"/>
        <v>0</v>
      </c>
      <c r="K29" s="148" t="e">
        <f t="shared" ca="1" si="1"/>
        <v>#N/A</v>
      </c>
      <c r="L29" s="13">
        <f t="shared" si="2"/>
        <v>0</v>
      </c>
      <c r="M29" s="148" t="e">
        <f t="shared" si="3"/>
        <v>#N/A</v>
      </c>
      <c r="N29" s="13">
        <f t="shared" si="8"/>
        <v>0</v>
      </c>
      <c r="O29" s="148" t="e">
        <f t="shared" si="4"/>
        <v>#N/A</v>
      </c>
      <c r="P29" s="13">
        <f t="shared" si="9"/>
        <v>5.1982780144283049</v>
      </c>
      <c r="Q29" s="148" t="e">
        <f t="shared" si="5"/>
        <v>#N/A</v>
      </c>
      <c r="R29" s="148" t="e">
        <f t="shared" ca="1" si="6"/>
        <v>#N/A</v>
      </c>
      <c r="S29" s="167" t="str">
        <f t="shared" ca="1" si="7"/>
        <v/>
      </c>
      <c r="U29" s="52"/>
    </row>
    <row r="30" spans="2:21" x14ac:dyDescent="0.35">
      <c r="J30" s="47" t="e">
        <f ca="1">SUM(J9:J29)</f>
        <v>#N/A</v>
      </c>
      <c r="L30" s="47" t="e">
        <f>SUM(L9:L29)</f>
        <v>#N/A</v>
      </c>
      <c r="N30" t="e">
        <f>SUM(N9:N29)</f>
        <v>#N/A</v>
      </c>
      <c r="P30" t="e">
        <f>SUM(P9:P29)</f>
        <v>#N/A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7B44C-519E-4333-ABE2-186377B89F23}">
  <dimension ref="C2:L23"/>
  <sheetViews>
    <sheetView topLeftCell="B1" zoomScale="95" zoomScaleNormal="95" workbookViewId="0">
      <selection activeCell="E7" sqref="E7"/>
    </sheetView>
  </sheetViews>
  <sheetFormatPr defaultRowHeight="14.5" x14ac:dyDescent="0.35"/>
  <cols>
    <col min="3" max="3" width="8.453125" bestFit="1" customWidth="1"/>
    <col min="4" max="4" width="34.453125" bestFit="1" customWidth="1"/>
    <col min="5" max="5" width="9.54296875" customWidth="1"/>
    <col min="6" max="6" width="8.54296875" bestFit="1" customWidth="1"/>
    <col min="7" max="7" width="8" customWidth="1"/>
    <col min="8" max="8" width="14.453125" customWidth="1"/>
    <col min="9" max="9" width="11.453125" customWidth="1"/>
    <col min="10" max="10" width="12.81640625" customWidth="1"/>
    <col min="11" max="11" width="13.1796875" customWidth="1"/>
    <col min="12" max="12" width="17" customWidth="1"/>
  </cols>
  <sheetData>
    <row r="2" spans="3:12" x14ac:dyDescent="0.35">
      <c r="C2" s="203" t="s">
        <v>555</v>
      </c>
      <c r="D2" s="204"/>
      <c r="E2" s="208" t="s">
        <v>802</v>
      </c>
      <c r="F2" s="209"/>
      <c r="G2" s="210"/>
      <c r="H2" s="211" t="s">
        <v>802</v>
      </c>
      <c r="I2" s="201" t="s">
        <v>557</v>
      </c>
      <c r="J2" s="203" t="s">
        <v>554</v>
      </c>
      <c r="K2" s="201" t="s">
        <v>560</v>
      </c>
      <c r="L2" s="201" t="s">
        <v>750</v>
      </c>
    </row>
    <row r="3" spans="3:12" x14ac:dyDescent="0.35">
      <c r="C3" s="205"/>
      <c r="D3" s="206"/>
      <c r="E3" s="170" t="s">
        <v>556</v>
      </c>
      <c r="F3" s="170" t="s">
        <v>558</v>
      </c>
      <c r="G3" s="170" t="s">
        <v>919</v>
      </c>
      <c r="H3" s="212"/>
      <c r="I3" s="214"/>
      <c r="J3" s="215"/>
      <c r="K3" s="214"/>
      <c r="L3" s="214"/>
    </row>
    <row r="4" spans="3:12" x14ac:dyDescent="0.35">
      <c r="C4" s="80" t="s">
        <v>24</v>
      </c>
      <c r="D4" s="82" t="s">
        <v>40</v>
      </c>
      <c r="E4" s="126" t="str">
        <f>IF(VLOOKUP(C4,OUTPUT_COUNTRY!$B$7:$N$26,3,FALSE)&gt;75,"++",(IF(VLOOKUP(C4,OUTPUT_COUNTRY!$B$7:$N$26,3,FALSE)&gt;50,"+",(IF(VLOOKUP(C4,OUTPUT_COUNTRY!$B$7:$N$26,3,FALSE)&gt;25,"-","--")))))</f>
        <v>-</v>
      </c>
      <c r="F4" s="126" t="str">
        <f>IF(VLOOKUP(C4,OUTPUT_COUNTRY!$B$7:$N$26,4,FALSE)&gt;75,"++",(IF(VLOOKUP(C4,OUTPUT_COUNTRY!$B$7:$N$26,4,FALSE)&gt;50,"+",(IF(VLOOKUP(C4,OUTPUT_COUNTRY!$B$7:$N$26,4,FALSE)&gt;25,"-","--")))))</f>
        <v>++</v>
      </c>
      <c r="G4" s="128" t="str">
        <f>IF(VLOOKUP(C4,OUTPUT_COUNTRY!$B$7:$N$26,5,FALSE)&gt;75,"++",(IF(VLOOKUP(C4,OUTPUT_COUNTRY!$B$7:$N$26,5,FALSE)&gt;50,"+",(IF(VLOOKUP(C4,OUTPUT_COUNTRY!$B$7:$N$26,5,FALSE)&gt;25,"-","--")))))</f>
        <v>+</v>
      </c>
      <c r="H4" s="124" t="str">
        <f>IF(VLOOKUP(C4,OUTPUT_COUNTRY!$B$7:$N$26,7,FALSE)&gt;75,"++",(IF(VLOOKUP(C4,OUTPUT_COUNTRY!$B$7:$N$26,7,FALSE)&gt;50,"+",(IF(VLOOKUP(C4,OUTPUT_COUNTRY!$B$7:$N$26,7,FALSE)&gt;25,"-","--")))))</f>
        <v>++</v>
      </c>
      <c r="I4" s="124" t="str">
        <f>IF(VLOOKUP(C4,OUTPUT_COUNTRY!$B$7:$N$26,8,FALSE)&gt;75,"++",(IF(VLOOKUP(C4,OUTPUT_COUNTRY!$B$7:$N$26,8,FALSE)&gt;50,"+",(IF(VLOOKUP(C4,OUTPUT_COUNTRY!$B$7:$N$26,8,FALSE)&gt;25,"-","--")))))</f>
        <v>--</v>
      </c>
      <c r="J4" s="124" t="str">
        <f ca="1">IF(VLOOKUP(C4,OUTPUT_COUNTRY!$B$7:$N$26,9,FALSE)&gt;75,"++",(IF(VLOOKUP(C4,OUTPUT_COUNTRY!$B$7:$N$26,9,FALSE)&gt;50,"+",(IF(VLOOKUP(C4,OUTPUT_COUNTRY!$B$7:$N$26,9,FALSE)&gt;25,"-","--")))))</f>
        <v>++</v>
      </c>
      <c r="K4" s="124" t="str">
        <f>IF(VLOOKUP(C4,OUTPUT_COUNTRY!$B$7:$N$26,11,FALSE)&gt;75,"++",(IF(VLOOKUP(C4,OUTPUT_COUNTRY!$B$7:$N$26,11,FALSE)&gt;50,"+",(IF(VLOOKUP(C4,OUTPUT_COUNTRY!$B$7:$N$26,11,FALSE)&gt;25,"-","--")))))</f>
        <v>-</v>
      </c>
      <c r="L4" s="125" t="str">
        <f ca="1">IF(VLOOKUP(C4,OUTPUT_COUNTRY!$B$7:$N$26,13,FALSE)&gt;75,"++",(IF(VLOOKUP(C4,OUTPUT_COUNTRY!$B$7:$N$26,13,FALSE)&gt;50,"+",(IF(VLOOKUP(C4,OUTPUT_COUNTRY!$B$7:$N$26,13,FALSE)&gt;25,"-","--")))))</f>
        <v>++</v>
      </c>
    </row>
    <row r="5" spans="3:12" x14ac:dyDescent="0.35">
      <c r="C5" s="80" t="s">
        <v>37</v>
      </c>
      <c r="D5" s="82" t="s">
        <v>448</v>
      </c>
      <c r="E5" s="126" t="str">
        <f>IF(VLOOKUP(C5,OUTPUT_COUNTRY!$B$7:$N$26,3,FALSE)&gt;75,"++",(IF(VLOOKUP(C5,OUTPUT_COUNTRY!$B$7:$N$26,3,FALSE)&gt;50,"+",(IF(VLOOKUP(C5,OUTPUT_COUNTRY!$B$7:$N$26,3,FALSE)&gt;25,"-","--")))))</f>
        <v>--</v>
      </c>
      <c r="F5" s="126" t="str">
        <f>IF(VLOOKUP(C5,OUTPUT_COUNTRY!$B$7:$N$26,4,FALSE)&gt;75,"++",(IF(VLOOKUP(C5,OUTPUT_COUNTRY!$B$7:$N$26,4,FALSE)&gt;50,"+",(IF(VLOOKUP(C5,OUTPUT_COUNTRY!$B$7:$N$26,4,FALSE)&gt;25,"-","--")))))</f>
        <v>-</v>
      </c>
      <c r="G5" s="128" t="str">
        <f>IF(VLOOKUP(C5,OUTPUT_COUNTRY!$B$7:$N$26,5,FALSE)&gt;75,"++",(IF(VLOOKUP(C5,OUTPUT_COUNTRY!$B$7:$N$26,5,FALSE)&gt;50,"+",(IF(VLOOKUP(C5,OUTPUT_COUNTRY!$B$7:$N$26,5,FALSE)&gt;25,"-","--")))))</f>
        <v>-</v>
      </c>
      <c r="H5" s="128" t="str">
        <f>IF(VLOOKUP(C5,OUTPUT_COUNTRY!$B$7:$N$26,7,FALSE)&gt;75,"++",(IF(VLOOKUP(C5,OUTPUT_COUNTRY!$B$7:$N$26,7,FALSE)&gt;50,"+",(IF(VLOOKUP(C5,OUTPUT_COUNTRY!$B$7:$N$26,7,FALSE)&gt;25,"-","--")))))</f>
        <v>--</v>
      </c>
      <c r="I5" s="128" t="str">
        <f>IF(VLOOKUP(C5,OUTPUT_COUNTRY!$B$7:$N$26,8,FALSE)&gt;75,"++",(IF(VLOOKUP(C5,OUTPUT_COUNTRY!$B$7:$N$26,8,FALSE)&gt;50,"+",(IF(VLOOKUP(C5,OUTPUT_COUNTRY!$B$7:$N$26,8,FALSE)&gt;25,"-","--")))))</f>
        <v>++</v>
      </c>
      <c r="J5" s="128" t="str">
        <f ca="1">IF(VLOOKUP(C5,OUTPUT_COUNTRY!$B$7:$N$26,9,FALSE)&gt;75,"++",(IF(VLOOKUP(C5,OUTPUT_COUNTRY!$B$7:$N$26,9,FALSE)&gt;50,"+",(IF(VLOOKUP(C5,OUTPUT_COUNTRY!$B$7:$N$26,9,FALSE)&gt;25,"-","--")))))</f>
        <v>--</v>
      </c>
      <c r="K5" s="128" t="str">
        <f>IF(VLOOKUP(C5,OUTPUT_COUNTRY!$B$7:$N$26,11,FALSE)&gt;75,"++",(IF(VLOOKUP(C5,OUTPUT_COUNTRY!$B$7:$N$26,11,FALSE)&gt;50,"+",(IF(VLOOKUP(C5,OUTPUT_COUNTRY!$B$7:$N$26,11,FALSE)&gt;25,"-","--")))))</f>
        <v>+</v>
      </c>
      <c r="L5" s="126" t="str">
        <f ca="1">IF(VLOOKUP(C5,OUTPUT_COUNTRY!$B$7:$N$26,13,FALSE)&gt;75,"++",(IF(VLOOKUP(C5,OUTPUT_COUNTRY!$B$7:$N$26,13,FALSE)&gt;50,"+",(IF(VLOOKUP(C5,OUTPUT_COUNTRY!$B$7:$N$26,13,FALSE)&gt;25,"-","--")))))</f>
        <v>--</v>
      </c>
    </row>
    <row r="6" spans="3:12" x14ac:dyDescent="0.35">
      <c r="C6" s="80" t="s">
        <v>36</v>
      </c>
      <c r="D6" s="82" t="s">
        <v>449</v>
      </c>
      <c r="E6" s="126" t="str">
        <f>IF(VLOOKUP(C6,OUTPUT_COUNTRY!$B$7:$N$26,3,FALSE)&gt;75,"++",(IF(VLOOKUP(C6,OUTPUT_COUNTRY!$B$7:$N$26,3,FALSE)&gt;50,"+",(IF(VLOOKUP(C6,OUTPUT_COUNTRY!$B$7:$N$26,3,FALSE)&gt;25,"-","--")))))</f>
        <v>--</v>
      </c>
      <c r="F6" s="126" t="str">
        <f>IF(VLOOKUP(C6,OUTPUT_COUNTRY!$B$7:$N$26,4,FALSE)&gt;75,"++",(IF(VLOOKUP(C6,OUTPUT_COUNTRY!$B$7:$N$26,4,FALSE)&gt;50,"+",(IF(VLOOKUP(C6,OUTPUT_COUNTRY!$B$7:$N$26,4,FALSE)&gt;25,"-","--")))))</f>
        <v>-</v>
      </c>
      <c r="G6" s="128" t="str">
        <f>IF(VLOOKUP(C6,OUTPUT_COUNTRY!$B$7:$N$26,5,FALSE)&gt;75,"++",(IF(VLOOKUP(C6,OUTPUT_COUNTRY!$B$7:$N$26,5,FALSE)&gt;50,"+",(IF(VLOOKUP(C6,OUTPUT_COUNTRY!$B$7:$N$26,5,FALSE)&gt;25,"-","--")))))</f>
        <v>++</v>
      </c>
      <c r="H6" s="128" t="str">
        <f>IF(VLOOKUP(C6,OUTPUT_COUNTRY!$B$7:$N$26,7,FALSE)&gt;75,"++",(IF(VLOOKUP(C6,OUTPUT_COUNTRY!$B$7:$N$26,7,FALSE)&gt;50,"+",(IF(VLOOKUP(C6,OUTPUT_COUNTRY!$B$7:$N$26,7,FALSE)&gt;25,"-","--")))))</f>
        <v>-</v>
      </c>
      <c r="I6" s="128" t="str">
        <f>IF(VLOOKUP(C6,OUTPUT_COUNTRY!$B$7:$N$26,8,FALSE)&gt;75,"++",(IF(VLOOKUP(C6,OUTPUT_COUNTRY!$B$7:$N$26,8,FALSE)&gt;50,"+",(IF(VLOOKUP(C6,OUTPUT_COUNTRY!$B$7:$N$26,8,FALSE)&gt;25,"-","--")))))</f>
        <v>--</v>
      </c>
      <c r="J6" s="128" t="str">
        <f ca="1">IF(VLOOKUP(C6,OUTPUT_COUNTRY!$B$7:$N$26,9,FALSE)&gt;75,"++",(IF(VLOOKUP(C6,OUTPUT_COUNTRY!$B$7:$N$26,9,FALSE)&gt;50,"+",(IF(VLOOKUP(C6,OUTPUT_COUNTRY!$B$7:$N$26,9,FALSE)&gt;25,"-","--")))))</f>
        <v>-</v>
      </c>
      <c r="K6" s="128" t="str">
        <f>IF(VLOOKUP(C6,OUTPUT_COUNTRY!$B$7:$N$26,11,FALSE)&gt;75,"++",(IF(VLOOKUP(C6,OUTPUT_COUNTRY!$B$7:$N$26,11,FALSE)&gt;50,"+",(IF(VLOOKUP(C6,OUTPUT_COUNTRY!$B$7:$N$26,11,FALSE)&gt;25,"-","--")))))</f>
        <v>++</v>
      </c>
      <c r="L6" s="126" t="str">
        <f ca="1">IF(VLOOKUP(C6,OUTPUT_COUNTRY!$B$7:$N$26,13,FALSE)&gt;75,"++",(IF(VLOOKUP(C6,OUTPUT_COUNTRY!$B$7:$N$26,13,FALSE)&gt;50,"+",(IF(VLOOKUP(C6,OUTPUT_COUNTRY!$B$7:$N$26,13,FALSE)&gt;25,"-","--")))))</f>
        <v>-</v>
      </c>
    </row>
    <row r="7" spans="3:12" x14ac:dyDescent="0.35">
      <c r="C7" s="80" t="s">
        <v>7</v>
      </c>
      <c r="D7" s="82" t="s">
        <v>53</v>
      </c>
      <c r="E7" s="126" t="str">
        <f>IF(VLOOKUP(C7,OUTPUT_COUNTRY!$B$7:$N$26,3,FALSE)&gt;75,"++",(IF(VLOOKUP(C7,OUTPUT_COUNTRY!$B$7:$N$26,3,FALSE)&gt;50,"+",(IF(VLOOKUP(C7,OUTPUT_COUNTRY!$B$7:$N$26,3,FALSE)&gt;25,"-","--")))))</f>
        <v>--</v>
      </c>
      <c r="F7" s="126" t="str">
        <f>IF(VLOOKUP(C7,OUTPUT_COUNTRY!$B$7:$N$26,4,FALSE)&gt;75,"++",(IF(VLOOKUP(C7,OUTPUT_COUNTRY!$B$7:$N$26,4,FALSE)&gt;50,"+",(IF(VLOOKUP(C7,OUTPUT_COUNTRY!$B$7:$N$26,4,FALSE)&gt;25,"-","--")))))</f>
        <v>+</v>
      </c>
      <c r="G7" s="128" t="str">
        <f>IF(VLOOKUP(C7,OUTPUT_COUNTRY!$B$7:$N$26,5,FALSE)&gt;75,"++",(IF(VLOOKUP(C7,OUTPUT_COUNTRY!$B$7:$N$26,5,FALSE)&gt;50,"+",(IF(VLOOKUP(C7,OUTPUT_COUNTRY!$B$7:$N$26,5,FALSE)&gt;25,"-","--")))))</f>
        <v>+</v>
      </c>
      <c r="H7" s="128" t="str">
        <f>IF(VLOOKUP(C7,OUTPUT_COUNTRY!$B$7:$N$26,7,FALSE)&gt;75,"++",(IF(VLOOKUP(C7,OUTPUT_COUNTRY!$B$7:$N$26,7,FALSE)&gt;50,"+",(IF(VLOOKUP(C7,OUTPUT_COUNTRY!$B$7:$N$26,7,FALSE)&gt;25,"-","--")))))</f>
        <v>+</v>
      </c>
      <c r="I7" s="128" t="str">
        <f>IF(VLOOKUP(C7,OUTPUT_COUNTRY!$B$7:$N$26,8,FALSE)&gt;75,"++",(IF(VLOOKUP(C7,OUTPUT_COUNTRY!$B$7:$N$26,8,FALSE)&gt;50,"+",(IF(VLOOKUP(C7,OUTPUT_COUNTRY!$B$7:$N$26,8,FALSE)&gt;25,"-","--")))))</f>
        <v>++</v>
      </c>
      <c r="J7" s="128" t="str">
        <f ca="1">IF(VLOOKUP(C7,OUTPUT_COUNTRY!$B$7:$N$26,9,FALSE)&gt;75,"++",(IF(VLOOKUP(C7,OUTPUT_COUNTRY!$B$7:$N$26,9,FALSE)&gt;50,"+",(IF(VLOOKUP(C7,OUTPUT_COUNTRY!$B$7:$N$26,9,FALSE)&gt;25,"-","--")))))</f>
        <v>--</v>
      </c>
      <c r="K7" s="128" t="str">
        <f>IF(VLOOKUP(C7,OUTPUT_COUNTRY!$B$7:$N$26,11,FALSE)&gt;75,"++",(IF(VLOOKUP(C7,OUTPUT_COUNTRY!$B$7:$N$26,11,FALSE)&gt;50,"+",(IF(VLOOKUP(C7,OUTPUT_COUNTRY!$B$7:$N$26,11,FALSE)&gt;25,"-","--")))))</f>
        <v>--</v>
      </c>
      <c r="L7" s="126" t="str">
        <f ca="1">IF(VLOOKUP(C7,OUTPUT_COUNTRY!$B$7:$N$26,13,FALSE)&gt;75,"++",(IF(VLOOKUP(C7,OUTPUT_COUNTRY!$B$7:$N$26,13,FALSE)&gt;50,"+",(IF(VLOOKUP(C7,OUTPUT_COUNTRY!$B$7:$N$26,13,FALSE)&gt;25,"-","--")))))</f>
        <v>--</v>
      </c>
    </row>
    <row r="8" spans="3:12" x14ac:dyDescent="0.35">
      <c r="C8" s="80" t="s">
        <v>35</v>
      </c>
      <c r="D8" s="82" t="s">
        <v>437</v>
      </c>
      <c r="E8" s="126" t="str">
        <f>IF(VLOOKUP(C8,OUTPUT_COUNTRY!$B$7:$N$26,3,FALSE)&gt;75,"++",(IF(VLOOKUP(C8,OUTPUT_COUNTRY!$B$7:$N$26,3,FALSE)&gt;50,"+",(IF(VLOOKUP(C8,OUTPUT_COUNTRY!$B$7:$N$26,3,FALSE)&gt;25,"-","--")))))</f>
        <v>-</v>
      </c>
      <c r="F8" s="126" t="str">
        <f>IF(VLOOKUP(C8,OUTPUT_COUNTRY!$B$7:$N$26,4,FALSE)&gt;75,"++",(IF(VLOOKUP(C8,OUTPUT_COUNTRY!$B$7:$N$26,4,FALSE)&gt;50,"+",(IF(VLOOKUP(C8,OUTPUT_COUNTRY!$B$7:$N$26,4,FALSE)&gt;25,"-","--")))))</f>
        <v>-</v>
      </c>
      <c r="G8" s="128" t="str">
        <f>IF(VLOOKUP(C8,OUTPUT_COUNTRY!$B$7:$N$26,5,FALSE)&gt;75,"++",(IF(VLOOKUP(C8,OUTPUT_COUNTRY!$B$7:$N$26,5,FALSE)&gt;50,"+",(IF(VLOOKUP(C8,OUTPUT_COUNTRY!$B$7:$N$26,5,FALSE)&gt;25,"-","--")))))</f>
        <v>++</v>
      </c>
      <c r="H8" s="128" t="str">
        <f>IF(VLOOKUP(C8,OUTPUT_COUNTRY!$B$7:$N$26,7,FALSE)&gt;75,"++",(IF(VLOOKUP(C8,OUTPUT_COUNTRY!$B$7:$N$26,7,FALSE)&gt;50,"+",(IF(VLOOKUP(C8,OUTPUT_COUNTRY!$B$7:$N$26,7,FALSE)&gt;25,"-","--")))))</f>
        <v>+</v>
      </c>
      <c r="I8" s="128" t="str">
        <f>IF(VLOOKUP(C8,OUTPUT_COUNTRY!$B$7:$N$26,8,FALSE)&gt;75,"++",(IF(VLOOKUP(C8,OUTPUT_COUNTRY!$B$7:$N$26,8,FALSE)&gt;50,"+",(IF(VLOOKUP(C8,OUTPUT_COUNTRY!$B$7:$N$26,8,FALSE)&gt;25,"-","--")))))</f>
        <v>--</v>
      </c>
      <c r="J8" s="128" t="str">
        <f ca="1">IF(VLOOKUP(C8,OUTPUT_COUNTRY!$B$7:$N$26,9,FALSE)&gt;75,"++",(IF(VLOOKUP(C8,OUTPUT_COUNTRY!$B$7:$N$26,9,FALSE)&gt;50,"+",(IF(VLOOKUP(C8,OUTPUT_COUNTRY!$B$7:$N$26,9,FALSE)&gt;25,"-","--")))))</f>
        <v>--</v>
      </c>
      <c r="K8" s="128" t="str">
        <f>IF(VLOOKUP(C8,OUTPUT_COUNTRY!$B$7:$N$26,11,FALSE)&gt;75,"++",(IF(VLOOKUP(C8,OUTPUT_COUNTRY!$B$7:$N$26,11,FALSE)&gt;50,"+",(IF(VLOOKUP(C8,OUTPUT_COUNTRY!$B$7:$N$26,11,FALSE)&gt;25,"-","--")))))</f>
        <v>+</v>
      </c>
      <c r="L8" s="126" t="str">
        <f ca="1">IF(VLOOKUP(C8,OUTPUT_COUNTRY!$B$7:$N$26,13,FALSE)&gt;75,"++",(IF(VLOOKUP(C8,OUTPUT_COUNTRY!$B$7:$N$26,13,FALSE)&gt;50,"+",(IF(VLOOKUP(C8,OUTPUT_COUNTRY!$B$7:$N$26,13,FALSE)&gt;25,"-","--")))))</f>
        <v>--</v>
      </c>
    </row>
    <row r="9" spans="3:12" x14ac:dyDescent="0.35">
      <c r="C9" s="80" t="s">
        <v>432</v>
      </c>
      <c r="D9" s="82" t="s">
        <v>435</v>
      </c>
      <c r="E9" s="126" t="str">
        <f>IF(VLOOKUP(C9,OUTPUT_COUNTRY!$B$7:$N$26,3,FALSE)&gt;75,"++",(IF(VLOOKUP(C9,OUTPUT_COUNTRY!$B$7:$N$26,3,FALSE)&gt;50,"+",(IF(VLOOKUP(C9,OUTPUT_COUNTRY!$B$7:$N$26,3,FALSE)&gt;25,"-","--")))))</f>
        <v>+</v>
      </c>
      <c r="F9" s="126" t="str">
        <f>IF(VLOOKUP(C9,OUTPUT_COUNTRY!$B$7:$N$26,4,FALSE)&gt;75,"++",(IF(VLOOKUP(C9,OUTPUT_COUNTRY!$B$7:$N$26,4,FALSE)&gt;50,"+",(IF(VLOOKUP(C9,OUTPUT_COUNTRY!$B$7:$N$26,4,FALSE)&gt;25,"-","--")))))</f>
        <v>++</v>
      </c>
      <c r="G9" s="128" t="str">
        <f>IF(VLOOKUP(C9,OUTPUT_COUNTRY!$B$7:$N$26,5,FALSE)&gt;75,"++",(IF(VLOOKUP(C9,OUTPUT_COUNTRY!$B$7:$N$26,5,FALSE)&gt;50,"+",(IF(VLOOKUP(C9,OUTPUT_COUNTRY!$B$7:$N$26,5,FALSE)&gt;25,"-","--")))))</f>
        <v>++</v>
      </c>
      <c r="H9" s="128" t="str">
        <f>IF(VLOOKUP(C9,OUTPUT_COUNTRY!$B$7:$N$26,7,FALSE)&gt;75,"++",(IF(VLOOKUP(C9,OUTPUT_COUNTRY!$B$7:$N$26,7,FALSE)&gt;50,"+",(IF(VLOOKUP(C9,OUTPUT_COUNTRY!$B$7:$N$26,7,FALSE)&gt;25,"-","--")))))</f>
        <v>++</v>
      </c>
      <c r="I9" s="128" t="str">
        <f>IF(VLOOKUP(C9,OUTPUT_COUNTRY!$B$7:$N$26,8,FALSE)&gt;75,"++",(IF(VLOOKUP(C9,OUTPUT_COUNTRY!$B$7:$N$26,8,FALSE)&gt;50,"+",(IF(VLOOKUP(C9,OUTPUT_COUNTRY!$B$7:$N$26,8,FALSE)&gt;25,"-","--")))))</f>
        <v>--</v>
      </c>
      <c r="J9" s="128" t="str">
        <f ca="1">IF(VLOOKUP(C9,OUTPUT_COUNTRY!$B$7:$N$26,9,FALSE)&gt;75,"++",(IF(VLOOKUP(C9,OUTPUT_COUNTRY!$B$7:$N$26,9,FALSE)&gt;50,"+",(IF(VLOOKUP(C9,OUTPUT_COUNTRY!$B$7:$N$26,9,FALSE)&gt;25,"-","--")))))</f>
        <v>-</v>
      </c>
      <c r="K9" s="128" t="str">
        <f>IF(VLOOKUP(C9,OUTPUT_COUNTRY!$B$7:$N$26,11,FALSE)&gt;75,"++",(IF(VLOOKUP(C9,OUTPUT_COUNTRY!$B$7:$N$26,11,FALSE)&gt;50,"+",(IF(VLOOKUP(C9,OUTPUT_COUNTRY!$B$7:$N$26,11,FALSE)&gt;25,"-","--")))))</f>
        <v>-</v>
      </c>
      <c r="L9" s="126" t="str">
        <f ca="1">IF(VLOOKUP(C9,OUTPUT_COUNTRY!$B$7:$N$26,13,FALSE)&gt;75,"++",(IF(VLOOKUP(C9,OUTPUT_COUNTRY!$B$7:$N$26,13,FALSE)&gt;50,"+",(IF(VLOOKUP(C9,OUTPUT_COUNTRY!$B$7:$N$26,13,FALSE)&gt;25,"-","--")))))</f>
        <v>-</v>
      </c>
    </row>
    <row r="10" spans="3:12" x14ac:dyDescent="0.35">
      <c r="C10" s="80" t="s">
        <v>23</v>
      </c>
      <c r="D10" s="82" t="s">
        <v>439</v>
      </c>
      <c r="E10" s="126" t="str">
        <f>IF(VLOOKUP(C10,OUTPUT_COUNTRY!$B$7:$N$26,3,FALSE)&gt;75,"++",(IF(VLOOKUP(C10,OUTPUT_COUNTRY!$B$7:$N$26,3,FALSE)&gt;50,"+",(IF(VLOOKUP(C10,OUTPUT_COUNTRY!$B$7:$N$26,3,FALSE)&gt;25,"-","--")))))</f>
        <v>++</v>
      </c>
      <c r="F10" s="126" t="str">
        <f>IF(VLOOKUP(C10,OUTPUT_COUNTRY!$B$7:$N$26,4,FALSE)&gt;75,"++",(IF(VLOOKUP(C10,OUTPUT_COUNTRY!$B$7:$N$26,4,FALSE)&gt;50,"+",(IF(VLOOKUP(C10,OUTPUT_COUNTRY!$B$7:$N$26,4,FALSE)&gt;25,"-","--")))))</f>
        <v>--</v>
      </c>
      <c r="G10" s="128" t="str">
        <f>IF(VLOOKUP(C10,OUTPUT_COUNTRY!$B$7:$N$26,5,FALSE)&gt;75,"++",(IF(VLOOKUP(C10,OUTPUT_COUNTRY!$B$7:$N$26,5,FALSE)&gt;50,"+",(IF(VLOOKUP(C10,OUTPUT_COUNTRY!$B$7:$N$26,5,FALSE)&gt;25,"-","--")))))</f>
        <v>--</v>
      </c>
      <c r="H10" s="128" t="str">
        <f>IF(VLOOKUP(C10,OUTPUT_COUNTRY!$B$7:$N$26,7,FALSE)&gt;75,"++",(IF(VLOOKUP(C10,OUTPUT_COUNTRY!$B$7:$N$26,7,FALSE)&gt;50,"+",(IF(VLOOKUP(C10,OUTPUT_COUNTRY!$B$7:$N$26,7,FALSE)&gt;25,"-","--")))))</f>
        <v>--</v>
      </c>
      <c r="I10" s="128" t="str">
        <f>IF(VLOOKUP(C10,OUTPUT_COUNTRY!$B$7:$N$26,8,FALSE)&gt;75,"++",(IF(VLOOKUP(C10,OUTPUT_COUNTRY!$B$7:$N$26,8,FALSE)&gt;50,"+",(IF(VLOOKUP(C10,OUTPUT_COUNTRY!$B$7:$N$26,8,FALSE)&gt;25,"-","--")))))</f>
        <v>++</v>
      </c>
      <c r="J10" s="128" t="str">
        <f ca="1">IF(VLOOKUP(C10,OUTPUT_COUNTRY!$B$7:$N$26,9,FALSE)&gt;75,"++",(IF(VLOOKUP(C10,OUTPUT_COUNTRY!$B$7:$N$26,9,FALSE)&gt;50,"+",(IF(VLOOKUP(C10,OUTPUT_COUNTRY!$B$7:$N$26,9,FALSE)&gt;25,"-","--")))))</f>
        <v>+</v>
      </c>
      <c r="K10" s="128" t="str">
        <f>IF(VLOOKUP(C10,OUTPUT_COUNTRY!$B$7:$N$26,11,FALSE)&gt;75,"++",(IF(VLOOKUP(C10,OUTPUT_COUNTRY!$B$7:$N$26,11,FALSE)&gt;50,"+",(IF(VLOOKUP(C10,OUTPUT_COUNTRY!$B$7:$N$26,11,FALSE)&gt;25,"-","--")))))</f>
        <v>++</v>
      </c>
      <c r="L10" s="126" t="str">
        <f ca="1">IF(VLOOKUP(C10,OUTPUT_COUNTRY!$B$7:$N$26,13,FALSE)&gt;75,"++",(IF(VLOOKUP(C10,OUTPUT_COUNTRY!$B$7:$N$26,13,FALSE)&gt;50,"+",(IF(VLOOKUP(C10,OUTPUT_COUNTRY!$B$7:$N$26,13,FALSE)&gt;25,"-","--")))))</f>
        <v>++</v>
      </c>
    </row>
    <row r="11" spans="3:12" x14ac:dyDescent="0.35">
      <c r="C11" s="80" t="s">
        <v>21</v>
      </c>
      <c r="D11" s="82" t="s">
        <v>38</v>
      </c>
      <c r="E11" s="126" t="str">
        <f>IF(VLOOKUP(C11,OUTPUT_COUNTRY!$B$7:$N$26,3,FALSE)&gt;75,"++",(IF(VLOOKUP(C11,OUTPUT_COUNTRY!$B$7:$N$26,3,FALSE)&gt;50,"+",(IF(VLOOKUP(C11,OUTPUT_COUNTRY!$B$7:$N$26,3,FALSE)&gt;25,"-","--")))))</f>
        <v>-</v>
      </c>
      <c r="F11" s="126" t="str">
        <f>IF(VLOOKUP(C11,OUTPUT_COUNTRY!$B$7:$N$26,4,FALSE)&gt;75,"++",(IF(VLOOKUP(C11,OUTPUT_COUNTRY!$B$7:$N$26,4,FALSE)&gt;50,"+",(IF(VLOOKUP(C11,OUTPUT_COUNTRY!$B$7:$N$26,4,FALSE)&gt;25,"-","--")))))</f>
        <v>++</v>
      </c>
      <c r="G11" s="128" t="str">
        <f>IF(VLOOKUP(C11,OUTPUT_COUNTRY!$B$7:$N$26,5,FALSE)&gt;75,"++",(IF(VLOOKUP(C11,OUTPUT_COUNTRY!$B$7:$N$26,5,FALSE)&gt;50,"+",(IF(VLOOKUP(C11,OUTPUT_COUNTRY!$B$7:$N$26,5,FALSE)&gt;25,"-","--")))))</f>
        <v>-</v>
      </c>
      <c r="H11" s="128" t="str">
        <f>IF(VLOOKUP(C11,OUTPUT_COUNTRY!$B$7:$N$26,7,FALSE)&gt;75,"++",(IF(VLOOKUP(C11,OUTPUT_COUNTRY!$B$7:$N$26,7,FALSE)&gt;50,"+",(IF(VLOOKUP(C11,OUTPUT_COUNTRY!$B$7:$N$26,7,FALSE)&gt;25,"-","--")))))</f>
        <v>+</v>
      </c>
      <c r="I11" s="128" t="str">
        <f>IF(VLOOKUP(C11,OUTPUT_COUNTRY!$B$7:$N$26,8,FALSE)&gt;75,"++",(IF(VLOOKUP(C11,OUTPUT_COUNTRY!$B$7:$N$26,8,FALSE)&gt;50,"+",(IF(VLOOKUP(C11,OUTPUT_COUNTRY!$B$7:$N$26,8,FALSE)&gt;25,"-","--")))))</f>
        <v>--</v>
      </c>
      <c r="J11" s="128" t="str">
        <f ca="1">IF(VLOOKUP(C11,OUTPUT_COUNTRY!$B$7:$N$26,9,FALSE)&gt;75,"++",(IF(VLOOKUP(C11,OUTPUT_COUNTRY!$B$7:$N$26,9,FALSE)&gt;50,"+",(IF(VLOOKUP(C11,OUTPUT_COUNTRY!$B$7:$N$26,9,FALSE)&gt;25,"-","--")))))</f>
        <v>+</v>
      </c>
      <c r="K11" s="128" t="str">
        <f>IF(VLOOKUP(C11,OUTPUT_COUNTRY!$B$7:$N$26,11,FALSE)&gt;75,"++",(IF(VLOOKUP(C11,OUTPUT_COUNTRY!$B$7:$N$26,11,FALSE)&gt;50,"+",(IF(VLOOKUP(C11,OUTPUT_COUNTRY!$B$7:$N$26,11,FALSE)&gt;25,"-","--")))))</f>
        <v>-</v>
      </c>
      <c r="L11" s="126" t="str">
        <f ca="1">IF(VLOOKUP(C11,OUTPUT_COUNTRY!$B$7:$N$26,13,FALSE)&gt;75,"++",(IF(VLOOKUP(C11,OUTPUT_COUNTRY!$B$7:$N$26,13,FALSE)&gt;50,"+",(IF(VLOOKUP(C11,OUTPUT_COUNTRY!$B$7:$N$26,13,FALSE)&gt;25,"-","--")))))</f>
        <v>-</v>
      </c>
    </row>
    <row r="12" spans="3:12" x14ac:dyDescent="0.35">
      <c r="C12" s="80" t="s">
        <v>28</v>
      </c>
      <c r="D12" s="82" t="s">
        <v>443</v>
      </c>
      <c r="E12" s="126" t="str">
        <f>IF(VLOOKUP(C12,OUTPUT_COUNTRY!$B$7:$N$26,3,FALSE)&gt;75,"++",(IF(VLOOKUP(C12,OUTPUT_COUNTRY!$B$7:$N$26,3,FALSE)&gt;50,"+",(IF(VLOOKUP(C12,OUTPUT_COUNTRY!$B$7:$N$26,3,FALSE)&gt;25,"-","--")))))</f>
        <v>++</v>
      </c>
      <c r="F12" s="126" t="str">
        <f>IF(VLOOKUP(C12,OUTPUT_COUNTRY!$B$7:$N$26,4,FALSE)&gt;75,"++",(IF(VLOOKUP(C12,OUTPUT_COUNTRY!$B$7:$N$26,4,FALSE)&gt;50,"+",(IF(VLOOKUP(C12,OUTPUT_COUNTRY!$B$7:$N$26,4,FALSE)&gt;25,"-","--")))))</f>
        <v>--</v>
      </c>
      <c r="G12" s="128" t="str">
        <f>IF(VLOOKUP(C12,OUTPUT_COUNTRY!$B$7:$N$26,5,FALSE)&gt;75,"++",(IF(VLOOKUP(C12,OUTPUT_COUNTRY!$B$7:$N$26,5,FALSE)&gt;50,"+",(IF(VLOOKUP(C12,OUTPUT_COUNTRY!$B$7:$N$26,5,FALSE)&gt;25,"-","--")))))</f>
        <v>--</v>
      </c>
      <c r="H12" s="128" t="str">
        <f>IF(VLOOKUP(C12,OUTPUT_COUNTRY!$B$7:$N$26,7,FALSE)&gt;75,"++",(IF(VLOOKUP(C12,OUTPUT_COUNTRY!$B$7:$N$26,7,FALSE)&gt;50,"+",(IF(VLOOKUP(C12,OUTPUT_COUNTRY!$B$7:$N$26,7,FALSE)&gt;25,"-","--")))))</f>
        <v>-</v>
      </c>
      <c r="I12" s="128" t="str">
        <f>IF(VLOOKUP(C12,OUTPUT_COUNTRY!$B$7:$N$26,8,FALSE)&gt;75,"++",(IF(VLOOKUP(C12,OUTPUT_COUNTRY!$B$7:$N$26,8,FALSE)&gt;50,"+",(IF(VLOOKUP(C12,OUTPUT_COUNTRY!$B$7:$N$26,8,FALSE)&gt;25,"-","--")))))</f>
        <v>--</v>
      </c>
      <c r="J12" s="128" t="str">
        <f ca="1">IF(VLOOKUP(C12,OUTPUT_COUNTRY!$B$7:$N$26,9,FALSE)&gt;75,"++",(IF(VLOOKUP(C12,OUTPUT_COUNTRY!$B$7:$N$26,9,FALSE)&gt;50,"+",(IF(VLOOKUP(C12,OUTPUT_COUNTRY!$B$7:$N$26,9,FALSE)&gt;25,"-","--")))))</f>
        <v>+</v>
      </c>
      <c r="K12" s="128" t="str">
        <f>IF(VLOOKUP(C12,OUTPUT_COUNTRY!$B$7:$N$26,11,FALSE)&gt;75,"++",(IF(VLOOKUP(C12,OUTPUT_COUNTRY!$B$7:$N$26,11,FALSE)&gt;50,"+",(IF(VLOOKUP(C12,OUTPUT_COUNTRY!$B$7:$N$26,11,FALSE)&gt;25,"-","--")))))</f>
        <v>+</v>
      </c>
      <c r="L12" s="126" t="str">
        <f ca="1">IF(VLOOKUP(C12,OUTPUT_COUNTRY!$B$7:$N$26,13,FALSE)&gt;75,"++",(IF(VLOOKUP(C12,OUTPUT_COUNTRY!$B$7:$N$26,13,FALSE)&gt;50,"+",(IF(VLOOKUP(C12,OUTPUT_COUNTRY!$B$7:$N$26,13,FALSE)&gt;25,"-","--")))))</f>
        <v>+</v>
      </c>
    </row>
    <row r="13" spans="3:12" x14ac:dyDescent="0.35">
      <c r="C13" s="80" t="s">
        <v>26</v>
      </c>
      <c r="D13" s="82" t="s">
        <v>41</v>
      </c>
      <c r="E13" s="126" t="str">
        <f>IF(VLOOKUP(C13,OUTPUT_COUNTRY!$B$7:$N$26,3,FALSE)&gt;75,"++",(IF(VLOOKUP(C13,OUTPUT_COUNTRY!$B$7:$N$26,3,FALSE)&gt;50,"+",(IF(VLOOKUP(C13,OUTPUT_COUNTRY!$B$7:$N$26,3,FALSE)&gt;25,"-","--")))))</f>
        <v>++</v>
      </c>
      <c r="F13" s="126" t="str">
        <f>IF(VLOOKUP(C13,OUTPUT_COUNTRY!$B$7:$N$26,4,FALSE)&gt;75,"++",(IF(VLOOKUP(C13,OUTPUT_COUNTRY!$B$7:$N$26,4,FALSE)&gt;50,"+",(IF(VLOOKUP(C13,OUTPUT_COUNTRY!$B$7:$N$26,4,FALSE)&gt;25,"-","--")))))</f>
        <v>++</v>
      </c>
      <c r="G13" s="128" t="str">
        <f>IF(VLOOKUP(C13,OUTPUT_COUNTRY!$B$7:$N$26,5,FALSE)&gt;75,"++",(IF(VLOOKUP(C13,OUTPUT_COUNTRY!$B$7:$N$26,5,FALSE)&gt;50,"+",(IF(VLOOKUP(C13,OUTPUT_COUNTRY!$B$7:$N$26,5,FALSE)&gt;25,"-","--")))))</f>
        <v>-</v>
      </c>
      <c r="H13" s="128" t="str">
        <f>IF(VLOOKUP(C13,OUTPUT_COUNTRY!$B$7:$N$26,7,FALSE)&gt;75,"++",(IF(VLOOKUP(C13,OUTPUT_COUNTRY!$B$7:$N$26,7,FALSE)&gt;50,"+",(IF(VLOOKUP(C13,OUTPUT_COUNTRY!$B$7:$N$26,7,FALSE)&gt;25,"-","--")))))</f>
        <v>++</v>
      </c>
      <c r="I13" s="128" t="str">
        <f>IF(VLOOKUP(C13,OUTPUT_COUNTRY!$B$7:$N$26,8,FALSE)&gt;75,"++",(IF(VLOOKUP(C13,OUTPUT_COUNTRY!$B$7:$N$26,8,FALSE)&gt;50,"+",(IF(VLOOKUP(C13,OUTPUT_COUNTRY!$B$7:$N$26,8,FALSE)&gt;25,"-","--")))))</f>
        <v>--</v>
      </c>
      <c r="J13" s="128" t="str">
        <f ca="1">IF(VLOOKUP(C13,OUTPUT_COUNTRY!$B$7:$N$26,9,FALSE)&gt;75,"++",(IF(VLOOKUP(C13,OUTPUT_COUNTRY!$B$7:$N$26,9,FALSE)&gt;50,"+",(IF(VLOOKUP(C13,OUTPUT_COUNTRY!$B$7:$N$26,9,FALSE)&gt;25,"-","--")))))</f>
        <v>+</v>
      </c>
      <c r="K13" s="128" t="str">
        <f>IF(VLOOKUP(C13,OUTPUT_COUNTRY!$B$7:$N$26,11,FALSE)&gt;75,"++",(IF(VLOOKUP(C13,OUTPUT_COUNTRY!$B$7:$N$26,11,FALSE)&gt;50,"+",(IF(VLOOKUP(C13,OUTPUT_COUNTRY!$B$7:$N$26,11,FALSE)&gt;25,"-","--")))))</f>
        <v>-</v>
      </c>
      <c r="L13" s="126" t="str">
        <f ca="1">IF(VLOOKUP(C13,OUTPUT_COUNTRY!$B$7:$N$26,13,FALSE)&gt;75,"++",(IF(VLOOKUP(C13,OUTPUT_COUNTRY!$B$7:$N$26,13,FALSE)&gt;50,"+",(IF(VLOOKUP(C13,OUTPUT_COUNTRY!$B$7:$N$26,13,FALSE)&gt;25,"-","--")))))</f>
        <v>+</v>
      </c>
    </row>
    <row r="14" spans="3:12" x14ac:dyDescent="0.35">
      <c r="C14" s="80" t="s">
        <v>32</v>
      </c>
      <c r="D14" s="82" t="s">
        <v>52</v>
      </c>
      <c r="E14" s="126" t="str">
        <f>IF(VLOOKUP(C14,OUTPUT_COUNTRY!$B$7:$N$26,3,FALSE)&gt;75,"++",(IF(VLOOKUP(C14,OUTPUT_COUNTRY!$B$7:$N$26,3,FALSE)&gt;50,"+",(IF(VLOOKUP(C14,OUTPUT_COUNTRY!$B$7:$N$26,3,FALSE)&gt;25,"-","--")))))</f>
        <v>--</v>
      </c>
      <c r="F14" s="126" t="str">
        <f>IF(VLOOKUP(C14,OUTPUT_COUNTRY!$B$7:$N$26,4,FALSE)&gt;75,"++",(IF(VLOOKUP(C14,OUTPUT_COUNTRY!$B$7:$N$26,4,FALSE)&gt;50,"+",(IF(VLOOKUP(C14,OUTPUT_COUNTRY!$B$7:$N$26,4,FALSE)&gt;25,"-","--")))))</f>
        <v>++</v>
      </c>
      <c r="G14" s="128" t="str">
        <f>IF(VLOOKUP(C14,OUTPUT_COUNTRY!$B$7:$N$26,5,FALSE)&gt;75,"++",(IF(VLOOKUP(C14,OUTPUT_COUNTRY!$B$7:$N$26,5,FALSE)&gt;50,"+",(IF(VLOOKUP(C14,OUTPUT_COUNTRY!$B$7:$N$26,5,FALSE)&gt;25,"-","--")))))</f>
        <v>-</v>
      </c>
      <c r="H14" s="128" t="str">
        <f>IF(VLOOKUP(C14,OUTPUT_COUNTRY!$B$7:$N$26,7,FALSE)&gt;75,"++",(IF(VLOOKUP(C14,OUTPUT_COUNTRY!$B$7:$N$26,7,FALSE)&gt;50,"+",(IF(VLOOKUP(C14,OUTPUT_COUNTRY!$B$7:$N$26,7,FALSE)&gt;25,"-","--")))))</f>
        <v>-</v>
      </c>
      <c r="I14" s="128" t="str">
        <f>IF(VLOOKUP(C14,OUTPUT_COUNTRY!$B$7:$N$26,8,FALSE)&gt;75,"++",(IF(VLOOKUP(C14,OUTPUT_COUNTRY!$B$7:$N$26,8,FALSE)&gt;50,"+",(IF(VLOOKUP(C14,OUTPUT_COUNTRY!$B$7:$N$26,8,FALSE)&gt;25,"-","--")))))</f>
        <v>--</v>
      </c>
      <c r="J14" s="128" t="str">
        <f ca="1">IF(VLOOKUP(C14,OUTPUT_COUNTRY!$B$7:$N$26,9,FALSE)&gt;75,"++",(IF(VLOOKUP(C14,OUTPUT_COUNTRY!$B$7:$N$26,9,FALSE)&gt;50,"+",(IF(VLOOKUP(C14,OUTPUT_COUNTRY!$B$7:$N$26,9,FALSE)&gt;25,"-","--")))))</f>
        <v>++</v>
      </c>
      <c r="K14" s="128" t="str">
        <f>IF(VLOOKUP(C14,OUTPUT_COUNTRY!$B$7:$N$26,11,FALSE)&gt;75,"++",(IF(VLOOKUP(C14,OUTPUT_COUNTRY!$B$7:$N$26,11,FALSE)&gt;50,"+",(IF(VLOOKUP(C14,OUTPUT_COUNTRY!$B$7:$N$26,11,FALSE)&gt;25,"-","--")))))</f>
        <v>+</v>
      </c>
      <c r="L14" s="126" t="str">
        <f ca="1">IF(VLOOKUP(C14,OUTPUT_COUNTRY!$B$7:$N$26,13,FALSE)&gt;75,"++",(IF(VLOOKUP(C14,OUTPUT_COUNTRY!$B$7:$N$26,13,FALSE)&gt;50,"+",(IF(VLOOKUP(C14,OUTPUT_COUNTRY!$B$7:$N$26,13,FALSE)&gt;25,"-","--")))))</f>
        <v>++</v>
      </c>
    </row>
    <row r="15" spans="3:12" x14ac:dyDescent="0.35">
      <c r="C15" s="80" t="s">
        <v>27</v>
      </c>
      <c r="D15" s="82" t="s">
        <v>436</v>
      </c>
      <c r="E15" s="126" t="str">
        <f>IF(VLOOKUP(C15,OUTPUT_COUNTRY!$B$7:$N$26,3,FALSE)&gt;75,"++",(IF(VLOOKUP(C15,OUTPUT_COUNTRY!$B$7:$N$26,3,FALSE)&gt;50,"+",(IF(VLOOKUP(C15,OUTPUT_COUNTRY!$B$7:$N$26,3,FALSE)&gt;25,"-","--")))))</f>
        <v>++</v>
      </c>
      <c r="F15" s="126" t="str">
        <f>IF(VLOOKUP(C15,OUTPUT_COUNTRY!$B$7:$N$26,4,FALSE)&gt;75,"++",(IF(VLOOKUP(C15,OUTPUT_COUNTRY!$B$7:$N$26,4,FALSE)&gt;50,"+",(IF(VLOOKUP(C15,OUTPUT_COUNTRY!$B$7:$N$26,4,FALSE)&gt;25,"-","--")))))</f>
        <v>-</v>
      </c>
      <c r="G15" s="128" t="str">
        <f>IF(VLOOKUP(C15,OUTPUT_COUNTRY!$B$7:$N$26,5,FALSE)&gt;75,"++",(IF(VLOOKUP(C15,OUTPUT_COUNTRY!$B$7:$N$26,5,FALSE)&gt;50,"+",(IF(VLOOKUP(C15,OUTPUT_COUNTRY!$B$7:$N$26,5,FALSE)&gt;25,"-","--")))))</f>
        <v>+</v>
      </c>
      <c r="H15" s="128" t="str">
        <f>IF(VLOOKUP(C15,OUTPUT_COUNTRY!$B$7:$N$26,7,FALSE)&gt;75,"++",(IF(VLOOKUP(C15,OUTPUT_COUNTRY!$B$7:$N$26,7,FALSE)&gt;50,"+",(IF(VLOOKUP(C15,OUTPUT_COUNTRY!$B$7:$N$26,7,FALSE)&gt;25,"-","--")))))</f>
        <v>++</v>
      </c>
      <c r="I15" s="128" t="str">
        <f>IF(VLOOKUP(C15,OUTPUT_COUNTRY!$B$7:$N$26,8,FALSE)&gt;75,"++",(IF(VLOOKUP(C15,OUTPUT_COUNTRY!$B$7:$N$26,8,FALSE)&gt;50,"+",(IF(VLOOKUP(C15,OUTPUT_COUNTRY!$B$7:$N$26,8,FALSE)&gt;25,"-","--")))))</f>
        <v>--</v>
      </c>
      <c r="J15" s="128" t="str">
        <f ca="1">IF(VLOOKUP(C15,OUTPUT_COUNTRY!$B$7:$N$26,9,FALSE)&gt;75,"++",(IF(VLOOKUP(C15,OUTPUT_COUNTRY!$B$7:$N$26,9,FALSE)&gt;50,"+",(IF(VLOOKUP(C15,OUTPUT_COUNTRY!$B$7:$N$26,9,FALSE)&gt;25,"-","--")))))</f>
        <v>-</v>
      </c>
      <c r="K15" s="128" t="str">
        <f>IF(VLOOKUP(C15,OUTPUT_COUNTRY!$B$7:$N$26,11,FALSE)&gt;75,"++",(IF(VLOOKUP(C15,OUTPUT_COUNTRY!$B$7:$N$26,11,FALSE)&gt;50,"+",(IF(VLOOKUP(C15,OUTPUT_COUNTRY!$B$7:$N$26,11,FALSE)&gt;25,"-","--")))))</f>
        <v>--</v>
      </c>
      <c r="L15" s="126" t="str">
        <f ca="1">IF(VLOOKUP(C15,OUTPUT_COUNTRY!$B$7:$N$26,13,FALSE)&gt;75,"++",(IF(VLOOKUP(C15,OUTPUT_COUNTRY!$B$7:$N$26,13,FALSE)&gt;50,"+",(IF(VLOOKUP(C15,OUTPUT_COUNTRY!$B$7:$N$26,13,FALSE)&gt;25,"-","--")))))</f>
        <v>--</v>
      </c>
    </row>
    <row r="16" spans="3:12" x14ac:dyDescent="0.35">
      <c r="C16" s="80" t="s">
        <v>25</v>
      </c>
      <c r="D16" s="82" t="s">
        <v>446</v>
      </c>
      <c r="E16" s="126" t="str">
        <f>IF(VLOOKUP(C16,OUTPUT_COUNTRY!$B$7:$N$26,3,FALSE)&gt;75,"++",(IF(VLOOKUP(C16,OUTPUT_COUNTRY!$B$7:$N$26,3,FALSE)&gt;50,"+",(IF(VLOOKUP(C16,OUTPUT_COUNTRY!$B$7:$N$26,3,FALSE)&gt;25,"-","--")))))</f>
        <v>+</v>
      </c>
      <c r="F16" s="126" t="str">
        <f>IF(VLOOKUP(C16,OUTPUT_COUNTRY!$B$7:$N$26,4,FALSE)&gt;75,"++",(IF(VLOOKUP(C16,OUTPUT_COUNTRY!$B$7:$N$26,4,FALSE)&gt;50,"+",(IF(VLOOKUP(C16,OUTPUT_COUNTRY!$B$7:$N$26,4,FALSE)&gt;25,"-","--")))))</f>
        <v>+</v>
      </c>
      <c r="G16" s="128" t="str">
        <f>IF(VLOOKUP(C16,OUTPUT_COUNTRY!$B$7:$N$26,5,FALSE)&gt;75,"++",(IF(VLOOKUP(C16,OUTPUT_COUNTRY!$B$7:$N$26,5,FALSE)&gt;50,"+",(IF(VLOOKUP(C16,OUTPUT_COUNTRY!$B$7:$N$26,5,FALSE)&gt;25,"-","--")))))</f>
        <v>--</v>
      </c>
      <c r="H16" s="128" t="str">
        <f>IF(VLOOKUP(C16,OUTPUT_COUNTRY!$B$7:$N$26,7,FALSE)&gt;75,"++",(IF(VLOOKUP(C16,OUTPUT_COUNTRY!$B$7:$N$26,7,FALSE)&gt;50,"+",(IF(VLOOKUP(C16,OUTPUT_COUNTRY!$B$7:$N$26,7,FALSE)&gt;25,"-","--")))))</f>
        <v>-</v>
      </c>
      <c r="I16" s="128" t="str">
        <f>IF(VLOOKUP(C16,OUTPUT_COUNTRY!$B$7:$N$26,8,FALSE)&gt;75,"++",(IF(VLOOKUP(C16,OUTPUT_COUNTRY!$B$7:$N$26,8,FALSE)&gt;50,"+",(IF(VLOOKUP(C16,OUTPUT_COUNTRY!$B$7:$N$26,8,FALSE)&gt;25,"-","--")))))</f>
        <v>--</v>
      </c>
      <c r="J16" s="128" t="str">
        <f ca="1">IF(VLOOKUP(C16,OUTPUT_COUNTRY!$B$7:$N$26,9,FALSE)&gt;75,"++",(IF(VLOOKUP(C16,OUTPUT_COUNTRY!$B$7:$N$26,9,FALSE)&gt;50,"+",(IF(VLOOKUP(C16,OUTPUT_COUNTRY!$B$7:$N$26,9,FALSE)&gt;25,"-","--")))))</f>
        <v>++</v>
      </c>
      <c r="K16" s="128" t="str">
        <f>IF(VLOOKUP(C16,OUTPUT_COUNTRY!$B$7:$N$26,11,FALSE)&gt;75,"++",(IF(VLOOKUP(C16,OUTPUT_COUNTRY!$B$7:$N$26,11,FALSE)&gt;50,"+",(IF(VLOOKUP(C16,OUTPUT_COUNTRY!$B$7:$N$26,11,FALSE)&gt;25,"-","--")))))</f>
        <v>--</v>
      </c>
      <c r="L16" s="126" t="str">
        <f ca="1">IF(VLOOKUP(C16,OUTPUT_COUNTRY!$B$7:$N$26,13,FALSE)&gt;75,"++",(IF(VLOOKUP(C16,OUTPUT_COUNTRY!$B$7:$N$26,13,FALSE)&gt;50,"+",(IF(VLOOKUP(C16,OUTPUT_COUNTRY!$B$7:$N$26,13,FALSE)&gt;25,"-","--")))))</f>
        <v>+</v>
      </c>
    </row>
    <row r="17" spans="3:12" x14ac:dyDescent="0.35">
      <c r="C17" s="80" t="s">
        <v>12</v>
      </c>
      <c r="D17" s="82" t="s">
        <v>54</v>
      </c>
      <c r="E17" s="126" t="str">
        <f>IF(VLOOKUP(C17,OUTPUT_COUNTRY!$B$7:$N$26,3,FALSE)&gt;75,"++",(IF(VLOOKUP(C17,OUTPUT_COUNTRY!$B$7:$N$26,3,FALSE)&gt;50,"+",(IF(VLOOKUP(C17,OUTPUT_COUNTRY!$B$7:$N$26,3,FALSE)&gt;25,"-","--")))))</f>
        <v>+</v>
      </c>
      <c r="F17" s="126" t="str">
        <f>IF(VLOOKUP(C17,OUTPUT_COUNTRY!$B$7:$N$26,4,FALSE)&gt;75,"++",(IF(VLOOKUP(C17,OUTPUT_COUNTRY!$B$7:$N$26,4,FALSE)&gt;50,"+",(IF(VLOOKUP(C17,OUTPUT_COUNTRY!$B$7:$N$26,4,FALSE)&gt;25,"-","--")))))</f>
        <v>--</v>
      </c>
      <c r="G17" s="128" t="str">
        <f>IF(VLOOKUP(C17,OUTPUT_COUNTRY!$B$7:$N$26,5,FALSE)&gt;75,"++",(IF(VLOOKUP(C17,OUTPUT_COUNTRY!$B$7:$N$26,5,FALSE)&gt;50,"+",(IF(VLOOKUP(C17,OUTPUT_COUNTRY!$B$7:$N$26,5,FALSE)&gt;25,"-","--")))))</f>
        <v>-</v>
      </c>
      <c r="H17" s="128" t="str">
        <f>IF(VLOOKUP(C17,OUTPUT_COUNTRY!$B$7:$N$26,7,FALSE)&gt;75,"++",(IF(VLOOKUP(C17,OUTPUT_COUNTRY!$B$7:$N$26,7,FALSE)&gt;50,"+",(IF(VLOOKUP(C17,OUTPUT_COUNTRY!$B$7:$N$26,7,FALSE)&gt;25,"-","--")))))</f>
        <v>-</v>
      </c>
      <c r="I17" s="128" t="str">
        <f>IF(VLOOKUP(C17,OUTPUT_COUNTRY!$B$7:$N$26,8,FALSE)&gt;75,"++",(IF(VLOOKUP(C17,OUTPUT_COUNTRY!$B$7:$N$26,8,FALSE)&gt;50,"+",(IF(VLOOKUP(C17,OUTPUT_COUNTRY!$B$7:$N$26,8,FALSE)&gt;25,"-","--")))))</f>
        <v>--</v>
      </c>
      <c r="J17" s="128" t="str">
        <f ca="1">IF(VLOOKUP(C17,OUTPUT_COUNTRY!$B$7:$N$26,9,FALSE)&gt;75,"++",(IF(VLOOKUP(C17,OUTPUT_COUNTRY!$B$7:$N$26,9,FALSE)&gt;50,"+",(IF(VLOOKUP(C17,OUTPUT_COUNTRY!$B$7:$N$26,9,FALSE)&gt;25,"-","--")))))</f>
        <v>--</v>
      </c>
      <c r="K17" s="128" t="str">
        <f>IF(VLOOKUP(C17,OUTPUT_COUNTRY!$B$7:$N$26,11,FALSE)&gt;75,"++",(IF(VLOOKUP(C17,OUTPUT_COUNTRY!$B$7:$N$26,11,FALSE)&gt;50,"+",(IF(VLOOKUP(C17,OUTPUT_COUNTRY!$B$7:$N$26,11,FALSE)&gt;25,"-","--")))))</f>
        <v>--</v>
      </c>
      <c r="L17" s="126" t="str">
        <f ca="1">IF(VLOOKUP(C17,OUTPUT_COUNTRY!$B$7:$N$26,13,FALSE)&gt;75,"++",(IF(VLOOKUP(C17,OUTPUT_COUNTRY!$B$7:$N$26,13,FALSE)&gt;50,"+",(IF(VLOOKUP(C17,OUTPUT_COUNTRY!$B$7:$N$26,13,FALSE)&gt;25,"-","--")))))</f>
        <v>--</v>
      </c>
    </row>
    <row r="18" spans="3:12" x14ac:dyDescent="0.35">
      <c r="C18" s="80" t="s">
        <v>29</v>
      </c>
      <c r="D18" s="82" t="s">
        <v>440</v>
      </c>
      <c r="E18" s="126" t="str">
        <f>IF(VLOOKUP(C18,OUTPUT_COUNTRY!$B$7:$N$26,3,FALSE)&gt;75,"++",(IF(VLOOKUP(C18,OUTPUT_COUNTRY!$B$7:$N$26,3,FALSE)&gt;50,"+",(IF(VLOOKUP(C18,OUTPUT_COUNTRY!$B$7:$N$26,3,FALSE)&gt;25,"-","--")))))</f>
        <v>-</v>
      </c>
      <c r="F18" s="126" t="str">
        <f>IF(VLOOKUP(C18,OUTPUT_COUNTRY!$B$7:$N$26,4,FALSE)&gt;75,"++",(IF(VLOOKUP(C18,OUTPUT_COUNTRY!$B$7:$N$26,4,FALSE)&gt;50,"+",(IF(VLOOKUP(C18,OUTPUT_COUNTRY!$B$7:$N$26,4,FALSE)&gt;25,"-","--")))))</f>
        <v>-</v>
      </c>
      <c r="G18" s="128" t="str">
        <f>IF(VLOOKUP(C18,OUTPUT_COUNTRY!$B$7:$N$26,5,FALSE)&gt;75,"++",(IF(VLOOKUP(C18,OUTPUT_COUNTRY!$B$7:$N$26,5,FALSE)&gt;50,"+",(IF(VLOOKUP(C18,OUTPUT_COUNTRY!$B$7:$N$26,5,FALSE)&gt;25,"-","--")))))</f>
        <v>--</v>
      </c>
      <c r="H18" s="128" t="str">
        <f>IF(VLOOKUP(C18,OUTPUT_COUNTRY!$B$7:$N$26,7,FALSE)&gt;75,"++",(IF(VLOOKUP(C18,OUTPUT_COUNTRY!$B$7:$N$26,7,FALSE)&gt;50,"+",(IF(VLOOKUP(C18,OUTPUT_COUNTRY!$B$7:$N$26,7,FALSE)&gt;25,"-","--")))))</f>
        <v>--</v>
      </c>
      <c r="I18" s="128" t="str">
        <f>IF(VLOOKUP(C18,OUTPUT_COUNTRY!$B$7:$N$26,8,FALSE)&gt;75,"++",(IF(VLOOKUP(C18,OUTPUT_COUNTRY!$B$7:$N$26,8,FALSE)&gt;50,"+",(IF(VLOOKUP(C18,OUTPUT_COUNTRY!$B$7:$N$26,8,FALSE)&gt;25,"-","--")))))</f>
        <v>++</v>
      </c>
      <c r="J18" s="128" t="str">
        <f ca="1">IF(VLOOKUP(C18,OUTPUT_COUNTRY!$B$7:$N$26,9,FALSE)&gt;75,"++",(IF(VLOOKUP(C18,OUTPUT_COUNTRY!$B$7:$N$26,9,FALSE)&gt;50,"+",(IF(VLOOKUP(C18,OUTPUT_COUNTRY!$B$7:$N$26,9,FALSE)&gt;25,"-","--")))))</f>
        <v>+</v>
      </c>
      <c r="K18" s="128" t="str">
        <f>IF(VLOOKUP(C18,OUTPUT_COUNTRY!$B$7:$N$26,11,FALSE)&gt;75,"++",(IF(VLOOKUP(C18,OUTPUT_COUNTRY!$B$7:$N$26,11,FALSE)&gt;50,"+",(IF(VLOOKUP(C18,OUTPUT_COUNTRY!$B$7:$N$26,11,FALSE)&gt;25,"-","--")))))</f>
        <v>-</v>
      </c>
      <c r="L18" s="126" t="str">
        <f ca="1">IF(VLOOKUP(C18,OUTPUT_COUNTRY!$B$7:$N$26,13,FALSE)&gt;75,"++",(IF(VLOOKUP(C18,OUTPUT_COUNTRY!$B$7:$N$26,13,FALSE)&gt;50,"+",(IF(VLOOKUP(C18,OUTPUT_COUNTRY!$B$7:$N$26,13,FALSE)&gt;25,"-","--")))))</f>
        <v>++</v>
      </c>
    </row>
    <row r="19" spans="3:12" x14ac:dyDescent="0.35">
      <c r="C19" s="80" t="s">
        <v>33</v>
      </c>
      <c r="D19" s="82" t="s">
        <v>441</v>
      </c>
      <c r="E19" s="126" t="str">
        <f>IF(VLOOKUP(C19,OUTPUT_COUNTRY!$B$7:$N$26,3,FALSE)&gt;75,"++",(IF(VLOOKUP(C19,OUTPUT_COUNTRY!$B$7:$N$26,3,FALSE)&gt;50,"+",(IF(VLOOKUP(C19,OUTPUT_COUNTRY!$B$7:$N$26,3,FALSE)&gt;25,"-","--")))))</f>
        <v>--</v>
      </c>
      <c r="F19" s="126" t="str">
        <f>IF(VLOOKUP(C19,OUTPUT_COUNTRY!$B$7:$N$26,4,FALSE)&gt;75,"++",(IF(VLOOKUP(C19,OUTPUT_COUNTRY!$B$7:$N$26,4,FALSE)&gt;50,"+",(IF(VLOOKUP(C19,OUTPUT_COUNTRY!$B$7:$N$26,4,FALSE)&gt;25,"-","--")))))</f>
        <v>+</v>
      </c>
      <c r="G19" s="128" t="str">
        <f>IF(VLOOKUP(C19,OUTPUT_COUNTRY!$B$7:$N$26,5,FALSE)&gt;75,"++",(IF(VLOOKUP(C19,OUTPUT_COUNTRY!$B$7:$N$26,5,FALSE)&gt;50,"+",(IF(VLOOKUP(C19,OUTPUT_COUNTRY!$B$7:$N$26,5,FALSE)&gt;25,"-","--")))))</f>
        <v>--</v>
      </c>
      <c r="H19" s="128" t="str">
        <f>IF(VLOOKUP(C19,OUTPUT_COUNTRY!$B$7:$N$26,7,FALSE)&gt;75,"++",(IF(VLOOKUP(C19,OUTPUT_COUNTRY!$B$7:$N$26,7,FALSE)&gt;50,"+",(IF(VLOOKUP(C19,OUTPUT_COUNTRY!$B$7:$N$26,7,FALSE)&gt;25,"-","--")))))</f>
        <v>--</v>
      </c>
      <c r="I19" s="128" t="str">
        <f>IF(VLOOKUP(C19,OUTPUT_COUNTRY!$B$7:$N$26,8,FALSE)&gt;75,"++",(IF(VLOOKUP(C19,OUTPUT_COUNTRY!$B$7:$N$26,8,FALSE)&gt;50,"+",(IF(VLOOKUP(C19,OUTPUT_COUNTRY!$B$7:$N$26,8,FALSE)&gt;25,"-","--")))))</f>
        <v>--</v>
      </c>
      <c r="J19" s="128" t="str">
        <f ca="1">IF(VLOOKUP(C19,OUTPUT_COUNTRY!$B$7:$N$26,9,FALSE)&gt;75,"++",(IF(VLOOKUP(C19,OUTPUT_COUNTRY!$B$7:$N$26,9,FALSE)&gt;50,"+",(IF(VLOOKUP(C19,OUTPUT_COUNTRY!$B$7:$N$26,9,FALSE)&gt;25,"-","--")))))</f>
        <v>++</v>
      </c>
      <c r="K19" s="128" t="str">
        <f>IF(VLOOKUP(C19,OUTPUT_COUNTRY!$B$7:$N$26,11,FALSE)&gt;75,"++",(IF(VLOOKUP(C19,OUTPUT_COUNTRY!$B$7:$N$26,11,FALSE)&gt;50,"+",(IF(VLOOKUP(C19,OUTPUT_COUNTRY!$B$7:$N$26,11,FALSE)&gt;25,"-","--")))))</f>
        <v>++</v>
      </c>
      <c r="L19" s="126" t="str">
        <f ca="1">IF(VLOOKUP(C19,OUTPUT_COUNTRY!$B$7:$N$26,13,FALSE)&gt;75,"++",(IF(VLOOKUP(C19,OUTPUT_COUNTRY!$B$7:$N$26,13,FALSE)&gt;50,"+",(IF(VLOOKUP(C19,OUTPUT_COUNTRY!$B$7:$N$26,13,FALSE)&gt;25,"-","--")))))</f>
        <v>++</v>
      </c>
    </row>
    <row r="20" spans="3:12" x14ac:dyDescent="0.35">
      <c r="C20" s="80" t="s">
        <v>31</v>
      </c>
      <c r="D20" s="82" t="s">
        <v>444</v>
      </c>
      <c r="E20" s="126" t="str">
        <f>IF(VLOOKUP(C20,OUTPUT_COUNTRY!$B$7:$N$26,3,FALSE)&gt;75,"++",(IF(VLOOKUP(C20,OUTPUT_COUNTRY!$B$7:$N$26,3,FALSE)&gt;50,"+",(IF(VLOOKUP(C20,OUTPUT_COUNTRY!$B$7:$N$26,3,FALSE)&gt;25,"-","--")))))</f>
        <v>+</v>
      </c>
      <c r="F20" s="126" t="str">
        <f>IF(VLOOKUP(C20,OUTPUT_COUNTRY!$B$7:$N$26,4,FALSE)&gt;75,"++",(IF(VLOOKUP(C20,OUTPUT_COUNTRY!$B$7:$N$26,4,FALSE)&gt;50,"+",(IF(VLOOKUP(C20,OUTPUT_COUNTRY!$B$7:$N$26,4,FALSE)&gt;25,"-","--")))))</f>
        <v>-</v>
      </c>
      <c r="G20" s="128" t="str">
        <f>IF(VLOOKUP(C20,OUTPUT_COUNTRY!$B$7:$N$26,5,FALSE)&gt;75,"++",(IF(VLOOKUP(C20,OUTPUT_COUNTRY!$B$7:$N$26,5,FALSE)&gt;50,"+",(IF(VLOOKUP(C20,OUTPUT_COUNTRY!$B$7:$N$26,5,FALSE)&gt;25,"-","--")))))</f>
        <v>+</v>
      </c>
      <c r="H20" s="128" t="str">
        <f>IF(VLOOKUP(C20,OUTPUT_COUNTRY!$B$7:$N$26,7,FALSE)&gt;75,"++",(IF(VLOOKUP(C20,OUTPUT_COUNTRY!$B$7:$N$26,7,FALSE)&gt;50,"+",(IF(VLOOKUP(C20,OUTPUT_COUNTRY!$B$7:$N$26,7,FALSE)&gt;25,"-","--")))))</f>
        <v>+</v>
      </c>
      <c r="I20" s="128" t="str">
        <f>IF(VLOOKUP(C20,OUTPUT_COUNTRY!$B$7:$N$26,8,FALSE)&gt;75,"++",(IF(VLOOKUP(C20,OUTPUT_COUNTRY!$B$7:$N$26,8,FALSE)&gt;50,"+",(IF(VLOOKUP(C20,OUTPUT_COUNTRY!$B$7:$N$26,8,FALSE)&gt;25,"-","--")))))</f>
        <v>--</v>
      </c>
      <c r="J20" s="128" t="str">
        <f ca="1">IF(VLOOKUP(C20,OUTPUT_COUNTRY!$B$7:$N$26,9,FALSE)&gt;75,"++",(IF(VLOOKUP(C20,OUTPUT_COUNTRY!$B$7:$N$26,9,FALSE)&gt;50,"+",(IF(VLOOKUP(C20,OUTPUT_COUNTRY!$B$7:$N$26,9,FALSE)&gt;25,"-","--")))))</f>
        <v>-</v>
      </c>
      <c r="K20" s="128" t="str">
        <f>IF(VLOOKUP(C20,OUTPUT_COUNTRY!$B$7:$N$26,11,FALSE)&gt;75,"++",(IF(VLOOKUP(C20,OUTPUT_COUNTRY!$B$7:$N$26,11,FALSE)&gt;50,"+",(IF(VLOOKUP(C20,OUTPUT_COUNTRY!$B$7:$N$26,11,FALSE)&gt;25,"-","--")))))</f>
        <v>++</v>
      </c>
      <c r="L20" s="126" t="str">
        <f ca="1">IF(VLOOKUP(C20,OUTPUT_COUNTRY!$B$7:$N$26,13,FALSE)&gt;75,"++",(IF(VLOOKUP(C20,OUTPUT_COUNTRY!$B$7:$N$26,13,FALSE)&gt;50,"+",(IF(VLOOKUP(C20,OUTPUT_COUNTRY!$B$7:$N$26,13,FALSE)&gt;25,"-","--")))))</f>
        <v>-</v>
      </c>
    </row>
    <row r="21" spans="3:12" x14ac:dyDescent="0.35">
      <c r="C21" s="80" t="s">
        <v>30</v>
      </c>
      <c r="D21" s="82" t="s">
        <v>438</v>
      </c>
      <c r="E21" s="126" t="str">
        <f>IF(VLOOKUP(C21,OUTPUT_COUNTRY!$B$7:$N$26,3,FALSE)&gt;75,"++",(IF(VLOOKUP(C21,OUTPUT_COUNTRY!$B$7:$N$26,3,FALSE)&gt;50,"+",(IF(VLOOKUP(C21,OUTPUT_COUNTRY!$B$7:$N$26,3,FALSE)&gt;25,"-","--")))))</f>
        <v>+</v>
      </c>
      <c r="F21" s="126" t="str">
        <f>IF(VLOOKUP(C21,OUTPUT_COUNTRY!$B$7:$N$26,4,FALSE)&gt;75,"++",(IF(VLOOKUP(C21,OUTPUT_COUNTRY!$B$7:$N$26,4,FALSE)&gt;50,"+",(IF(VLOOKUP(C21,OUTPUT_COUNTRY!$B$7:$N$26,4,FALSE)&gt;25,"-","--")))))</f>
        <v>+</v>
      </c>
      <c r="G21" s="128" t="str">
        <f>IF(VLOOKUP(C21,OUTPUT_COUNTRY!$B$7:$N$26,5,FALSE)&gt;75,"++",(IF(VLOOKUP(C21,OUTPUT_COUNTRY!$B$7:$N$26,5,FALSE)&gt;50,"+",(IF(VLOOKUP(C21,OUTPUT_COUNTRY!$B$7:$N$26,5,FALSE)&gt;25,"-","--")))))</f>
        <v>++</v>
      </c>
      <c r="H21" s="128" t="str">
        <f>IF(VLOOKUP(C21,OUTPUT_COUNTRY!$B$7:$N$26,7,FALSE)&gt;75,"++",(IF(VLOOKUP(C21,OUTPUT_COUNTRY!$B$7:$N$26,7,FALSE)&gt;50,"+",(IF(VLOOKUP(C21,OUTPUT_COUNTRY!$B$7:$N$26,7,FALSE)&gt;25,"-","--")))))</f>
        <v>++</v>
      </c>
      <c r="I21" s="128" t="str">
        <f>IF(VLOOKUP(C21,OUTPUT_COUNTRY!$B$7:$N$26,8,FALSE)&gt;75,"++",(IF(VLOOKUP(C21,OUTPUT_COUNTRY!$B$7:$N$26,8,FALSE)&gt;50,"+",(IF(VLOOKUP(C21,OUTPUT_COUNTRY!$B$7:$N$26,8,FALSE)&gt;25,"-","--")))))</f>
        <v>--</v>
      </c>
      <c r="J21" s="128" t="str">
        <f ca="1">IF(VLOOKUP(C21,OUTPUT_COUNTRY!$B$7:$N$26,9,FALSE)&gt;75,"++",(IF(VLOOKUP(C21,OUTPUT_COUNTRY!$B$7:$N$26,9,FALSE)&gt;50,"+",(IF(VLOOKUP(C21,OUTPUT_COUNTRY!$B$7:$N$26,9,FALSE)&gt;25,"-","--")))))</f>
        <v>-</v>
      </c>
      <c r="K21" s="128" t="str">
        <f>IF(VLOOKUP(C21,OUTPUT_COUNTRY!$B$7:$N$26,11,FALSE)&gt;75,"++",(IF(VLOOKUP(C21,OUTPUT_COUNTRY!$B$7:$N$26,11,FALSE)&gt;50,"+",(IF(VLOOKUP(C21,OUTPUT_COUNTRY!$B$7:$N$26,11,FALSE)&gt;25,"-","--")))))</f>
        <v>--</v>
      </c>
      <c r="L21" s="126" t="str">
        <f ca="1">IF(VLOOKUP(C21,OUTPUT_COUNTRY!$B$7:$N$26,13,FALSE)&gt;75,"++",(IF(VLOOKUP(C21,OUTPUT_COUNTRY!$B$7:$N$26,13,FALSE)&gt;50,"+",(IF(VLOOKUP(C21,OUTPUT_COUNTRY!$B$7:$N$26,13,FALSE)&gt;25,"-","--")))))</f>
        <v>+</v>
      </c>
    </row>
    <row r="22" spans="3:12" x14ac:dyDescent="0.35">
      <c r="C22" s="80" t="s">
        <v>34</v>
      </c>
      <c r="D22" s="82" t="s">
        <v>447</v>
      </c>
      <c r="E22" s="126" t="str">
        <f>IF(VLOOKUP(C22,OUTPUT_COUNTRY!$B$7:$N$26,3,FALSE)&gt;75,"++",(IF(VLOOKUP(C22,OUTPUT_COUNTRY!$B$7:$N$26,3,FALSE)&gt;50,"+",(IF(VLOOKUP(C22,OUTPUT_COUNTRY!$B$7:$N$26,3,FALSE)&gt;25,"-","--")))))</f>
        <v>++</v>
      </c>
      <c r="F22" s="126" t="str">
        <f>IF(VLOOKUP(C22,OUTPUT_COUNTRY!$B$7:$N$26,4,FALSE)&gt;75,"++",(IF(VLOOKUP(C22,OUTPUT_COUNTRY!$B$7:$N$26,4,FALSE)&gt;50,"+",(IF(VLOOKUP(C22,OUTPUT_COUNTRY!$B$7:$N$26,4,FALSE)&gt;25,"-","--")))))</f>
        <v>--</v>
      </c>
      <c r="G22" s="128" t="str">
        <f>IF(VLOOKUP(C22,OUTPUT_COUNTRY!$B$7:$N$26,5,FALSE)&gt;75,"++",(IF(VLOOKUP(C22,OUTPUT_COUNTRY!$B$7:$N$26,5,FALSE)&gt;50,"+",(IF(VLOOKUP(C22,OUTPUT_COUNTRY!$B$7:$N$26,5,FALSE)&gt;25,"-","--")))))</f>
        <v>+</v>
      </c>
      <c r="H22" s="128" t="str">
        <f>IF(VLOOKUP(C22,OUTPUT_COUNTRY!$B$7:$N$26,7,FALSE)&gt;75,"++",(IF(VLOOKUP(C22,OUTPUT_COUNTRY!$B$7:$N$26,7,FALSE)&gt;50,"+",(IF(VLOOKUP(C22,OUTPUT_COUNTRY!$B$7:$N$26,7,FALSE)&gt;25,"-","--")))))</f>
        <v>+</v>
      </c>
      <c r="I22" s="128" t="str">
        <f>IF(VLOOKUP(C22,OUTPUT_COUNTRY!$B$7:$N$26,8,FALSE)&gt;75,"++",(IF(VLOOKUP(C22,OUTPUT_COUNTRY!$B$7:$N$26,8,FALSE)&gt;50,"+",(IF(VLOOKUP(C22,OUTPUT_COUNTRY!$B$7:$N$26,8,FALSE)&gt;25,"-","--")))))</f>
        <v>--</v>
      </c>
      <c r="J22" s="128" t="str">
        <f ca="1">IF(VLOOKUP(C22,OUTPUT_COUNTRY!$B$7:$N$26,9,FALSE)&gt;75,"++",(IF(VLOOKUP(C22,OUTPUT_COUNTRY!$B$7:$N$26,9,FALSE)&gt;50,"+",(IF(VLOOKUP(C22,OUTPUT_COUNTRY!$B$7:$N$26,9,FALSE)&gt;25,"-","--")))))</f>
        <v>-</v>
      </c>
      <c r="K22" s="128" t="str">
        <f>IF(VLOOKUP(C22,OUTPUT_COUNTRY!$B$7:$N$26,11,FALSE)&gt;75,"++",(IF(VLOOKUP(C22,OUTPUT_COUNTRY!$B$7:$N$26,11,FALSE)&gt;50,"+",(IF(VLOOKUP(C22,OUTPUT_COUNTRY!$B$7:$N$26,11,FALSE)&gt;25,"-","--")))))</f>
        <v>++</v>
      </c>
      <c r="L22" s="126" t="str">
        <f ca="1">IF(VLOOKUP(C22,OUTPUT_COUNTRY!$B$7:$N$26,13,FALSE)&gt;75,"++",(IF(VLOOKUP(C22,OUTPUT_COUNTRY!$B$7:$N$26,13,FALSE)&gt;50,"+",(IF(VLOOKUP(C22,OUTPUT_COUNTRY!$B$7:$N$26,13,FALSE)&gt;25,"-","--")))))</f>
        <v>-</v>
      </c>
    </row>
    <row r="23" spans="3:12" x14ac:dyDescent="0.35">
      <c r="C23" s="81" t="s">
        <v>22</v>
      </c>
      <c r="D23" s="83" t="s">
        <v>442</v>
      </c>
      <c r="E23" s="130" t="str">
        <f>IF(VLOOKUP(C23,OUTPUT_COUNTRY!$B$7:$N$26,3,FALSE)&gt;75,"++",(IF(VLOOKUP(C23,OUTPUT_COUNTRY!$B$7:$N$26,3,FALSE)&gt;50,"+",(IF(VLOOKUP(C23,OUTPUT_COUNTRY!$B$7:$N$26,3,FALSE)&gt;25,"-","--")))))</f>
        <v>-</v>
      </c>
      <c r="F23" s="130" t="str">
        <f>IF(VLOOKUP(C23,OUTPUT_COUNTRY!$B$7:$N$26,4,FALSE)&gt;75,"++",(IF(VLOOKUP(C23,OUTPUT_COUNTRY!$B$7:$N$26,4,FALSE)&gt;50,"+",(IF(VLOOKUP(C23,OUTPUT_COUNTRY!$B$7:$N$26,4,FALSE)&gt;25,"-","--")))))</f>
        <v>--</v>
      </c>
      <c r="G23" s="129" t="str">
        <f>IF(VLOOKUP(C23,OUTPUT_COUNTRY!$B$7:$N$26,5,FALSE)&gt;75,"++",(IF(VLOOKUP(C23,OUTPUT_COUNTRY!$B$7:$N$26,5,FALSE)&gt;50,"+",(IF(VLOOKUP(C23,OUTPUT_COUNTRY!$B$7:$N$26,5,FALSE)&gt;25,"-","--")))))</f>
        <v>--</v>
      </c>
      <c r="H23" s="129" t="str">
        <f>IF(VLOOKUP(C23,OUTPUT_COUNTRY!$B$7:$N$26,7,FALSE)&gt;75,"++",(IF(VLOOKUP(C23,OUTPUT_COUNTRY!$B$7:$N$26,7,FALSE)&gt;50,"+",(IF(VLOOKUP(C23,OUTPUT_COUNTRY!$B$7:$N$26,7,FALSE)&gt;25,"-","--")))))</f>
        <v>--</v>
      </c>
      <c r="I23" s="129" t="str">
        <f>IF(VLOOKUP(C23,OUTPUT_COUNTRY!$B$7:$N$26,8,FALSE)&gt;75,"++",(IF(VLOOKUP(C23,OUTPUT_COUNTRY!$B$7:$N$26,8,FALSE)&gt;50,"+",(IF(VLOOKUP(C23,OUTPUT_COUNTRY!$B$7:$N$26,8,FALSE)&gt;25,"-","--")))))</f>
        <v>--</v>
      </c>
      <c r="J23" s="129" t="str">
        <f ca="1">IF(VLOOKUP(C23,OUTPUT_COUNTRY!$B$7:$N$26,9,FALSE)&gt;75,"++",(IF(VLOOKUP(C23,OUTPUT_COUNTRY!$B$7:$N$26,9,FALSE)&gt;50,"+",(IF(VLOOKUP(C23,OUTPUT_COUNTRY!$B$7:$N$26,9,FALSE)&gt;25,"-","--")))))</f>
        <v>++</v>
      </c>
      <c r="K23" s="129" t="str">
        <f>IF(VLOOKUP(C23,OUTPUT_COUNTRY!$B$7:$N$26,11,FALSE)&gt;75,"++",(IF(VLOOKUP(C23,OUTPUT_COUNTRY!$B$7:$N$26,11,FALSE)&gt;50,"+",(IF(VLOOKUP(C23,OUTPUT_COUNTRY!$B$7:$N$26,11,FALSE)&gt;25,"-","--")))))</f>
        <v>-</v>
      </c>
      <c r="L23" s="130" t="str">
        <f ca="1">IF(VLOOKUP(C23,OUTPUT_COUNTRY!$B$7:$N$26,13,FALSE)&gt;75,"++",(IF(VLOOKUP(C23,OUTPUT_COUNTRY!$B$7:$N$26,13,FALSE)&gt;50,"+",(IF(VLOOKUP(C23,OUTPUT_COUNTRY!$B$7:$N$26,13,FALSE)&gt;25,"-","--")))))</f>
        <v>+</v>
      </c>
    </row>
  </sheetData>
  <mergeCells count="7">
    <mergeCell ref="L2:L3"/>
    <mergeCell ref="J2:J3"/>
    <mergeCell ref="C2:D3"/>
    <mergeCell ref="E2:G2"/>
    <mergeCell ref="I2:I3"/>
    <mergeCell ref="K2:K3"/>
    <mergeCell ref="H2:H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3"/>
  <sheetViews>
    <sheetView topLeftCell="A35" workbookViewId="0">
      <selection activeCell="B46" sqref="B46"/>
    </sheetView>
  </sheetViews>
  <sheetFormatPr defaultRowHeight="14.5" x14ac:dyDescent="0.35"/>
  <cols>
    <col min="1" max="1" width="16.453125" style="27" customWidth="1"/>
    <col min="2" max="2" width="16.453125" customWidth="1"/>
    <col min="3" max="3" width="66.1796875" bestFit="1" customWidth="1"/>
    <col min="4" max="4" width="16.453125" bestFit="1" customWidth="1"/>
  </cols>
  <sheetData>
    <row r="1" spans="1:4" x14ac:dyDescent="0.35">
      <c r="C1" s="1" t="s">
        <v>151</v>
      </c>
    </row>
    <row r="2" spans="1:4" x14ac:dyDescent="0.35">
      <c r="A2" s="28" t="s">
        <v>152</v>
      </c>
      <c r="B2" s="29" t="s">
        <v>153</v>
      </c>
      <c r="C2" s="30" t="s">
        <v>154</v>
      </c>
      <c r="D2" s="30" t="s">
        <v>155</v>
      </c>
    </row>
    <row r="3" spans="1:4" x14ac:dyDescent="0.35">
      <c r="C3" s="31" t="s">
        <v>156</v>
      </c>
      <c r="D3" s="32"/>
    </row>
    <row r="4" spans="1:4" x14ac:dyDescent="0.35">
      <c r="A4" s="27" t="s">
        <v>116</v>
      </c>
      <c r="B4" t="s">
        <v>157</v>
      </c>
      <c r="C4" t="s">
        <v>158</v>
      </c>
      <c r="D4" t="s">
        <v>159</v>
      </c>
    </row>
    <row r="5" spans="1:4" x14ac:dyDescent="0.35">
      <c r="A5" s="27" t="s">
        <v>160</v>
      </c>
      <c r="B5" t="s">
        <v>161</v>
      </c>
      <c r="C5" t="s">
        <v>162</v>
      </c>
      <c r="D5" t="s">
        <v>163</v>
      </c>
    </row>
    <row r="6" spans="1:4" x14ac:dyDescent="0.35">
      <c r="A6" s="27" t="s">
        <v>114</v>
      </c>
      <c r="B6" t="s">
        <v>164</v>
      </c>
      <c r="C6" t="s">
        <v>165</v>
      </c>
      <c r="D6" t="s">
        <v>166</v>
      </c>
    </row>
    <row r="7" spans="1:4" x14ac:dyDescent="0.35">
      <c r="A7" s="27" t="s">
        <v>115</v>
      </c>
      <c r="B7" t="s">
        <v>167</v>
      </c>
      <c r="C7" t="s">
        <v>168</v>
      </c>
      <c r="D7" t="s">
        <v>169</v>
      </c>
    </row>
    <row r="8" spans="1:4" x14ac:dyDescent="0.35">
      <c r="A8" s="27" t="s">
        <v>119</v>
      </c>
      <c r="B8" t="s">
        <v>170</v>
      </c>
      <c r="C8" t="s">
        <v>171</v>
      </c>
      <c r="D8" t="s">
        <v>172</v>
      </c>
    </row>
    <row r="9" spans="1:4" x14ac:dyDescent="0.35">
      <c r="A9" s="27" t="s">
        <v>150</v>
      </c>
      <c r="C9" s="31" t="s">
        <v>173</v>
      </c>
      <c r="D9" s="33"/>
    </row>
    <row r="10" spans="1:4" x14ac:dyDescent="0.35">
      <c r="A10" s="27" t="s">
        <v>113</v>
      </c>
      <c r="B10" t="s">
        <v>174</v>
      </c>
      <c r="C10" t="s">
        <v>175</v>
      </c>
      <c r="D10" t="s">
        <v>176</v>
      </c>
    </row>
    <row r="11" spans="1:4" x14ac:dyDescent="0.35">
      <c r="A11" s="27" t="s">
        <v>104</v>
      </c>
      <c r="B11" t="s">
        <v>177</v>
      </c>
      <c r="C11" t="s">
        <v>178</v>
      </c>
      <c r="D11" t="s">
        <v>179</v>
      </c>
    </row>
    <row r="12" spans="1:4" x14ac:dyDescent="0.35">
      <c r="A12" s="27" t="s">
        <v>180</v>
      </c>
      <c r="B12" t="s">
        <v>181</v>
      </c>
      <c r="C12" t="s">
        <v>182</v>
      </c>
      <c r="D12" t="s">
        <v>183</v>
      </c>
    </row>
    <row r="13" spans="1:4" x14ac:dyDescent="0.35">
      <c r="A13" s="27" t="s">
        <v>118</v>
      </c>
      <c r="B13" t="s">
        <v>184</v>
      </c>
      <c r="C13" t="s">
        <v>185</v>
      </c>
      <c r="D13" t="s">
        <v>186</v>
      </c>
    </row>
    <row r="14" spans="1:4" x14ac:dyDescent="0.35">
      <c r="A14" s="27" t="s">
        <v>124</v>
      </c>
      <c r="B14" t="s">
        <v>187</v>
      </c>
      <c r="C14" t="s">
        <v>188</v>
      </c>
      <c r="D14" t="s">
        <v>189</v>
      </c>
    </row>
    <row r="15" spans="1:4" x14ac:dyDescent="0.35">
      <c r="A15" s="27" t="s">
        <v>114</v>
      </c>
      <c r="B15" t="s">
        <v>164</v>
      </c>
      <c r="C15" t="s">
        <v>165</v>
      </c>
      <c r="D15" t="s">
        <v>166</v>
      </c>
    </row>
    <row r="16" spans="1:4" x14ac:dyDescent="0.35">
      <c r="A16" s="27" t="s">
        <v>190</v>
      </c>
      <c r="B16" t="s">
        <v>191</v>
      </c>
      <c r="C16" t="s">
        <v>192</v>
      </c>
      <c r="D16" t="s">
        <v>193</v>
      </c>
    </row>
    <row r="17" spans="1:4" x14ac:dyDescent="0.35">
      <c r="A17" s="27" t="s">
        <v>122</v>
      </c>
      <c r="B17" t="s">
        <v>194</v>
      </c>
      <c r="C17" t="s">
        <v>195</v>
      </c>
      <c r="D17" t="s">
        <v>196</v>
      </c>
    </row>
    <row r="18" spans="1:4" x14ac:dyDescent="0.35">
      <c r="A18" s="27" t="s">
        <v>197</v>
      </c>
      <c r="B18" t="s">
        <v>198</v>
      </c>
      <c r="C18" t="s">
        <v>199</v>
      </c>
      <c r="D18" t="s">
        <v>200</v>
      </c>
    </row>
    <row r="19" spans="1:4" x14ac:dyDescent="0.35">
      <c r="A19" s="27" t="s">
        <v>201</v>
      </c>
      <c r="B19" t="s">
        <v>202</v>
      </c>
      <c r="C19" t="s">
        <v>203</v>
      </c>
      <c r="D19" t="s">
        <v>204</v>
      </c>
    </row>
    <row r="20" spans="1:4" x14ac:dyDescent="0.35">
      <c r="A20" s="27" t="s">
        <v>117</v>
      </c>
      <c r="B20" t="s">
        <v>205</v>
      </c>
      <c r="C20" t="s">
        <v>206</v>
      </c>
      <c r="D20" t="s">
        <v>207</v>
      </c>
    </row>
    <row r="21" spans="1:4" x14ac:dyDescent="0.35">
      <c r="A21" s="27" t="s">
        <v>208</v>
      </c>
      <c r="B21" t="s">
        <v>209</v>
      </c>
    </row>
    <row r="22" spans="1:4" x14ac:dyDescent="0.35">
      <c r="A22" s="27" t="s">
        <v>101</v>
      </c>
      <c r="B22" t="s">
        <v>210</v>
      </c>
      <c r="C22" t="s">
        <v>211</v>
      </c>
      <c r="D22" t="s">
        <v>212</v>
      </c>
    </row>
    <row r="23" spans="1:4" x14ac:dyDescent="0.35">
      <c r="A23" s="27" t="s">
        <v>213</v>
      </c>
      <c r="B23" t="s">
        <v>214</v>
      </c>
      <c r="C23" t="s">
        <v>215</v>
      </c>
      <c r="D23" t="s">
        <v>216</v>
      </c>
    </row>
    <row r="24" spans="1:4" x14ac:dyDescent="0.35">
      <c r="A24" s="27" t="s">
        <v>103</v>
      </c>
      <c r="B24" t="s">
        <v>217</v>
      </c>
      <c r="C24" t="s">
        <v>218</v>
      </c>
      <c r="D24" t="s">
        <v>219</v>
      </c>
    </row>
    <row r="25" spans="1:4" x14ac:dyDescent="0.35">
      <c r="A25" s="27" t="s">
        <v>220</v>
      </c>
      <c r="B25" t="s">
        <v>221</v>
      </c>
      <c r="C25" t="s">
        <v>222</v>
      </c>
      <c r="D25" t="s">
        <v>223</v>
      </c>
    </row>
    <row r="26" spans="1:4" x14ac:dyDescent="0.35">
      <c r="A26" s="27" t="s">
        <v>126</v>
      </c>
      <c r="B26" t="s">
        <v>224</v>
      </c>
      <c r="C26" t="s">
        <v>225</v>
      </c>
      <c r="D26" t="s">
        <v>226</v>
      </c>
    </row>
    <row r="27" spans="1:4" x14ac:dyDescent="0.35">
      <c r="A27" s="27" t="s">
        <v>150</v>
      </c>
      <c r="C27" s="31" t="s">
        <v>227</v>
      </c>
    </row>
    <row r="28" spans="1:4" x14ac:dyDescent="0.35">
      <c r="A28" s="27" t="s">
        <v>228</v>
      </c>
      <c r="B28" t="s">
        <v>229</v>
      </c>
      <c r="C28" t="s">
        <v>230</v>
      </c>
      <c r="D28" t="s">
        <v>231</v>
      </c>
    </row>
    <row r="29" spans="1:4" x14ac:dyDescent="0.35">
      <c r="A29" s="27" t="s">
        <v>232</v>
      </c>
      <c r="B29" t="s">
        <v>233</v>
      </c>
      <c r="C29" t="s">
        <v>234</v>
      </c>
      <c r="D29" t="s">
        <v>235</v>
      </c>
    </row>
    <row r="30" spans="1:4" x14ac:dyDescent="0.35">
      <c r="A30" s="27" t="s">
        <v>236</v>
      </c>
      <c r="B30" t="s">
        <v>237</v>
      </c>
      <c r="C30" t="s">
        <v>238</v>
      </c>
      <c r="D30" t="s">
        <v>239</v>
      </c>
    </row>
    <row r="31" spans="1:4" x14ac:dyDescent="0.35">
      <c r="A31" s="27" t="s">
        <v>240</v>
      </c>
      <c r="B31" t="s">
        <v>241</v>
      </c>
      <c r="C31" t="s">
        <v>242</v>
      </c>
      <c r="D31" t="s">
        <v>243</v>
      </c>
    </row>
    <row r="32" spans="1:4" x14ac:dyDescent="0.35">
      <c r="A32" s="27" t="s">
        <v>244</v>
      </c>
      <c r="B32" t="s">
        <v>161</v>
      </c>
      <c r="C32" t="s">
        <v>162</v>
      </c>
      <c r="D32" t="s">
        <v>163</v>
      </c>
    </row>
    <row r="33" spans="1:4" x14ac:dyDescent="0.35">
      <c r="A33" s="27" t="s">
        <v>245</v>
      </c>
      <c r="B33" t="s">
        <v>246</v>
      </c>
      <c r="C33" t="s">
        <v>247</v>
      </c>
      <c r="D33" t="s">
        <v>248</v>
      </c>
    </row>
    <row r="34" spans="1:4" x14ac:dyDescent="0.35">
      <c r="A34" s="27" t="s">
        <v>249</v>
      </c>
      <c r="B34" t="s">
        <v>250</v>
      </c>
      <c r="C34" t="s">
        <v>251</v>
      </c>
      <c r="D34" t="s">
        <v>252</v>
      </c>
    </row>
    <row r="35" spans="1:4" x14ac:dyDescent="0.35">
      <c r="A35" s="27" t="s">
        <v>253</v>
      </c>
      <c r="B35" t="s">
        <v>254</v>
      </c>
      <c r="C35" t="s">
        <v>255</v>
      </c>
      <c r="D35" t="s">
        <v>256</v>
      </c>
    </row>
    <row r="36" spans="1:4" x14ac:dyDescent="0.35">
      <c r="A36" s="27" t="s">
        <v>100</v>
      </c>
      <c r="B36" t="s">
        <v>257</v>
      </c>
      <c r="C36" t="s">
        <v>258</v>
      </c>
      <c r="D36" t="s">
        <v>259</v>
      </c>
    </row>
    <row r="37" spans="1:4" x14ac:dyDescent="0.35">
      <c r="A37" s="27" t="s">
        <v>260</v>
      </c>
      <c r="B37" t="s">
        <v>261</v>
      </c>
      <c r="C37" t="s">
        <v>262</v>
      </c>
      <c r="D37" t="s">
        <v>263</v>
      </c>
    </row>
    <row r="38" spans="1:4" x14ac:dyDescent="0.35">
      <c r="A38" s="27" t="s">
        <v>264</v>
      </c>
      <c r="B38" t="s">
        <v>265</v>
      </c>
      <c r="C38" t="s">
        <v>266</v>
      </c>
      <c r="D38" t="s">
        <v>267</v>
      </c>
    </row>
    <row r="39" spans="1:4" x14ac:dyDescent="0.35">
      <c r="A39" s="27" t="s">
        <v>268</v>
      </c>
      <c r="B39" t="s">
        <v>269</v>
      </c>
      <c r="C39" t="s">
        <v>270</v>
      </c>
      <c r="D39" t="s">
        <v>271</v>
      </c>
    </row>
    <row r="40" spans="1:4" x14ac:dyDescent="0.35">
      <c r="A40" s="27" t="s">
        <v>272</v>
      </c>
      <c r="B40" t="s">
        <v>273</v>
      </c>
      <c r="C40" t="s">
        <v>274</v>
      </c>
      <c r="D40" t="s">
        <v>275</v>
      </c>
    </row>
    <row r="41" spans="1:4" x14ac:dyDescent="0.35">
      <c r="A41" s="27" t="s">
        <v>110</v>
      </c>
      <c r="B41" t="s">
        <v>276</v>
      </c>
      <c r="C41" t="s">
        <v>277</v>
      </c>
      <c r="D41" t="s">
        <v>278</v>
      </c>
    </row>
    <row r="42" spans="1:4" x14ac:dyDescent="0.35">
      <c r="A42" s="27" t="s">
        <v>105</v>
      </c>
      <c r="B42" t="s">
        <v>279</v>
      </c>
      <c r="C42" t="s">
        <v>280</v>
      </c>
      <c r="D42" t="s">
        <v>281</v>
      </c>
    </row>
    <row r="43" spans="1:4" x14ac:dyDescent="0.35">
      <c r="A43" s="27" t="s">
        <v>282</v>
      </c>
      <c r="B43" t="s">
        <v>283</v>
      </c>
      <c r="C43" t="s">
        <v>284</v>
      </c>
      <c r="D43" t="s">
        <v>285</v>
      </c>
    </row>
    <row r="44" spans="1:4" x14ac:dyDescent="0.35">
      <c r="A44" s="27" t="s">
        <v>115</v>
      </c>
      <c r="B44" t="s">
        <v>167</v>
      </c>
      <c r="C44" t="s">
        <v>168</v>
      </c>
      <c r="D44" t="s">
        <v>169</v>
      </c>
    </row>
    <row r="45" spans="1:4" x14ac:dyDescent="0.35">
      <c r="A45" t="s">
        <v>102</v>
      </c>
      <c r="B45" t="s">
        <v>568</v>
      </c>
      <c r="C45" t="s">
        <v>162</v>
      </c>
      <c r="D45" t="s">
        <v>163</v>
      </c>
    </row>
    <row r="46" spans="1:4" x14ac:dyDescent="0.35">
      <c r="A46" s="27" t="s">
        <v>111</v>
      </c>
      <c r="B46" t="s">
        <v>498</v>
      </c>
      <c r="C46" t="s">
        <v>162</v>
      </c>
      <c r="D46" t="s">
        <v>163</v>
      </c>
    </row>
    <row r="47" spans="1:4" x14ac:dyDescent="0.35">
      <c r="A47" s="27" t="s">
        <v>150</v>
      </c>
      <c r="C47" s="31" t="s">
        <v>286</v>
      </c>
      <c r="D47" s="33"/>
    </row>
    <row r="48" spans="1:4" x14ac:dyDescent="0.35">
      <c r="A48" s="27" t="s">
        <v>287</v>
      </c>
      <c r="B48" t="s">
        <v>288</v>
      </c>
      <c r="C48" t="s">
        <v>289</v>
      </c>
      <c r="D48" t="s">
        <v>290</v>
      </c>
    </row>
    <row r="49" spans="1:4" x14ac:dyDescent="0.35">
      <c r="A49" s="27" t="s">
        <v>127</v>
      </c>
      <c r="B49" t="s">
        <v>291</v>
      </c>
      <c r="C49" t="s">
        <v>292</v>
      </c>
      <c r="D49" t="s">
        <v>293</v>
      </c>
    </row>
    <row r="50" spans="1:4" x14ac:dyDescent="0.35">
      <c r="A50" s="27" t="s">
        <v>107</v>
      </c>
      <c r="B50" t="s">
        <v>294</v>
      </c>
      <c r="C50" t="s">
        <v>295</v>
      </c>
      <c r="D50" t="s">
        <v>296</v>
      </c>
    </row>
    <row r="51" spans="1:4" x14ac:dyDescent="0.35">
      <c r="A51" s="27" t="s">
        <v>297</v>
      </c>
      <c r="B51" t="s">
        <v>298</v>
      </c>
      <c r="C51" t="s">
        <v>299</v>
      </c>
      <c r="D51" t="s">
        <v>300</v>
      </c>
    </row>
    <row r="52" spans="1:4" x14ac:dyDescent="0.35">
      <c r="A52" s="27" t="s">
        <v>121</v>
      </c>
      <c r="B52" t="s">
        <v>301</v>
      </c>
      <c r="C52" t="s">
        <v>302</v>
      </c>
      <c r="D52" t="s">
        <v>303</v>
      </c>
    </row>
    <row r="53" spans="1:4" x14ac:dyDescent="0.35">
      <c r="A53" s="27" t="s">
        <v>112</v>
      </c>
      <c r="B53" t="s">
        <v>304</v>
      </c>
      <c r="C53" t="s">
        <v>305</v>
      </c>
      <c r="D53" t="s">
        <v>306</v>
      </c>
    </row>
    <row r="54" spans="1:4" x14ac:dyDescent="0.35">
      <c r="A54" s="27" t="s">
        <v>307</v>
      </c>
      <c r="B54" t="s">
        <v>308</v>
      </c>
      <c r="C54" t="s">
        <v>309</v>
      </c>
      <c r="D54" t="s">
        <v>310</v>
      </c>
    </row>
    <row r="55" spans="1:4" x14ac:dyDescent="0.35">
      <c r="A55" s="27" t="s">
        <v>150</v>
      </c>
      <c r="C55" s="31" t="s">
        <v>311</v>
      </c>
      <c r="D55" s="33"/>
    </row>
    <row r="56" spans="1:4" x14ac:dyDescent="0.35">
      <c r="A56" s="27" t="s">
        <v>312</v>
      </c>
      <c r="B56" t="s">
        <v>313</v>
      </c>
      <c r="C56" t="s">
        <v>314</v>
      </c>
      <c r="D56" t="s">
        <v>315</v>
      </c>
    </row>
    <row r="57" spans="1:4" x14ac:dyDescent="0.35">
      <c r="A57" s="27" t="s">
        <v>316</v>
      </c>
      <c r="B57" t="s">
        <v>317</v>
      </c>
      <c r="C57" t="s">
        <v>318</v>
      </c>
      <c r="D57" t="s">
        <v>319</v>
      </c>
    </row>
    <row r="58" spans="1:4" x14ac:dyDescent="0.35">
      <c r="A58" s="27" t="s">
        <v>320</v>
      </c>
      <c r="B58" t="s">
        <v>321</v>
      </c>
      <c r="C58" t="s">
        <v>322</v>
      </c>
      <c r="D58" t="s">
        <v>323</v>
      </c>
    </row>
    <row r="59" spans="1:4" x14ac:dyDescent="0.35">
      <c r="A59" s="27" t="s">
        <v>324</v>
      </c>
      <c r="B59" t="s">
        <v>325</v>
      </c>
      <c r="C59" t="s">
        <v>326</v>
      </c>
      <c r="D59" t="s">
        <v>327</v>
      </c>
    </row>
    <row r="60" spans="1:4" x14ac:dyDescent="0.35">
      <c r="A60" s="27" t="s">
        <v>328</v>
      </c>
      <c r="B60" t="s">
        <v>329</v>
      </c>
      <c r="C60" t="s">
        <v>330</v>
      </c>
      <c r="D60" t="s">
        <v>331</v>
      </c>
    </row>
    <row r="61" spans="1:4" x14ac:dyDescent="0.35">
      <c r="A61" s="27" t="s">
        <v>332</v>
      </c>
      <c r="B61" t="s">
        <v>333</v>
      </c>
      <c r="C61" t="s">
        <v>334</v>
      </c>
      <c r="D61" t="s">
        <v>335</v>
      </c>
    </row>
    <row r="62" spans="1:4" x14ac:dyDescent="0.35">
      <c r="A62" s="27" t="s">
        <v>336</v>
      </c>
      <c r="B62" t="s">
        <v>337</v>
      </c>
      <c r="C62" t="s">
        <v>338</v>
      </c>
      <c r="D62" t="s">
        <v>339</v>
      </c>
    </row>
    <row r="63" spans="1:4" x14ac:dyDescent="0.35">
      <c r="A63" s="27" t="s">
        <v>340</v>
      </c>
      <c r="B63" t="s">
        <v>341</v>
      </c>
      <c r="C63" t="s">
        <v>342</v>
      </c>
      <c r="D63" t="s">
        <v>343</v>
      </c>
    </row>
    <row r="64" spans="1:4" x14ac:dyDescent="0.35">
      <c r="A64" s="27" t="s">
        <v>344</v>
      </c>
      <c r="B64" t="s">
        <v>345</v>
      </c>
      <c r="C64" t="s">
        <v>346</v>
      </c>
      <c r="D64" t="s">
        <v>347</v>
      </c>
    </row>
    <row r="65" spans="1:4" x14ac:dyDescent="0.35">
      <c r="A65" s="27" t="s">
        <v>348</v>
      </c>
      <c r="B65" t="s">
        <v>349</v>
      </c>
      <c r="C65" t="s">
        <v>350</v>
      </c>
      <c r="D65" t="s">
        <v>351</v>
      </c>
    </row>
    <row r="66" spans="1:4" x14ac:dyDescent="0.35">
      <c r="A66" s="27" t="s">
        <v>352</v>
      </c>
      <c r="B66" t="s">
        <v>353</v>
      </c>
      <c r="C66" t="s">
        <v>354</v>
      </c>
      <c r="D66" t="s">
        <v>355</v>
      </c>
    </row>
    <row r="67" spans="1:4" x14ac:dyDescent="0.35">
      <c r="A67" s="27" t="s">
        <v>356</v>
      </c>
      <c r="B67" t="s">
        <v>357</v>
      </c>
      <c r="C67" t="s">
        <v>358</v>
      </c>
      <c r="D67" t="s">
        <v>359</v>
      </c>
    </row>
    <row r="68" spans="1:4" x14ac:dyDescent="0.35">
      <c r="A68" s="27" t="s">
        <v>120</v>
      </c>
      <c r="B68" t="s">
        <v>360</v>
      </c>
      <c r="C68" t="s">
        <v>361</v>
      </c>
      <c r="D68" t="s">
        <v>362</v>
      </c>
    </row>
    <row r="69" spans="1:4" x14ac:dyDescent="0.35">
      <c r="A69" s="27" t="s">
        <v>125</v>
      </c>
      <c r="B69" t="s">
        <v>363</v>
      </c>
      <c r="C69" t="s">
        <v>364</v>
      </c>
      <c r="D69" t="s">
        <v>365</v>
      </c>
    </row>
    <row r="70" spans="1:4" x14ac:dyDescent="0.35">
      <c r="A70" s="27" t="s">
        <v>99</v>
      </c>
      <c r="B70" t="s">
        <v>366</v>
      </c>
      <c r="C70" t="s">
        <v>367</v>
      </c>
      <c r="D70" t="s">
        <v>368</v>
      </c>
    </row>
    <row r="71" spans="1:4" x14ac:dyDescent="0.35">
      <c r="A71" s="27" t="s">
        <v>369</v>
      </c>
      <c r="B71" t="s">
        <v>370</v>
      </c>
      <c r="C71" t="s">
        <v>371</v>
      </c>
      <c r="D71" t="s">
        <v>372</v>
      </c>
    </row>
    <row r="72" spans="1:4" x14ac:dyDescent="0.35">
      <c r="A72" s="27" t="s">
        <v>123</v>
      </c>
      <c r="B72" t="s">
        <v>373</v>
      </c>
      <c r="C72" t="s">
        <v>374</v>
      </c>
      <c r="D72" t="s">
        <v>375</v>
      </c>
    </row>
    <row r="73" spans="1:4" x14ac:dyDescent="0.35">
      <c r="A73" s="27" t="s">
        <v>376</v>
      </c>
      <c r="B73" t="s">
        <v>377</v>
      </c>
      <c r="C73" t="s">
        <v>378</v>
      </c>
      <c r="D73" t="s">
        <v>379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C59"/>
  <sheetViews>
    <sheetView workbookViewId="0">
      <selection activeCell="O8" sqref="O8"/>
    </sheetView>
  </sheetViews>
  <sheetFormatPr defaultRowHeight="14.5" x14ac:dyDescent="0.35"/>
  <cols>
    <col min="1" max="1" width="12" customWidth="1"/>
    <col min="2" max="2" width="15" bestFit="1" customWidth="1"/>
    <col min="3" max="3" width="41.453125" customWidth="1"/>
    <col min="4" max="4" width="15.453125" customWidth="1"/>
    <col min="5" max="5" width="18.1796875" customWidth="1"/>
    <col min="6" max="6" width="10.08984375" bestFit="1" customWidth="1"/>
    <col min="7" max="7" width="7.54296875" customWidth="1"/>
    <col min="8" max="8" width="9.453125" customWidth="1"/>
    <col min="9" max="9" width="8.54296875" customWidth="1"/>
    <col min="10" max="10" width="11" customWidth="1"/>
    <col min="11" max="11" width="12.81640625" customWidth="1"/>
    <col min="12" max="12" width="8.54296875" customWidth="1"/>
    <col min="14" max="14" width="10.54296875" customWidth="1"/>
    <col min="15" max="15" width="9.7265625" bestFit="1" customWidth="1"/>
    <col min="16" max="16" width="15" customWidth="1"/>
    <col min="17" max="17" width="12.453125" customWidth="1"/>
    <col min="18" max="20" width="13.453125" customWidth="1"/>
    <col min="21" max="21" width="14" customWidth="1"/>
    <col min="22" max="22" width="16.453125" customWidth="1"/>
    <col min="23" max="23" width="14.54296875" customWidth="1"/>
    <col min="24" max="24" width="14.453125" customWidth="1"/>
    <col min="25" max="25" width="11.54296875" customWidth="1"/>
    <col min="26" max="26" width="14.54296875" customWidth="1"/>
    <col min="27" max="28" width="11.54296875" customWidth="1"/>
  </cols>
  <sheetData>
    <row r="2" spans="1:29" ht="50.25" customHeight="1" x14ac:dyDescent="0.35">
      <c r="B2" t="s">
        <v>753</v>
      </c>
      <c r="D2" s="74" t="s">
        <v>0</v>
      </c>
      <c r="E2" s="74" t="s">
        <v>574</v>
      </c>
      <c r="F2" s="74"/>
      <c r="G2" s="74" t="s">
        <v>2</v>
      </c>
      <c r="H2" s="74" t="s">
        <v>3</v>
      </c>
      <c r="I2" s="74" t="s">
        <v>408</v>
      </c>
      <c r="J2" s="74" t="s">
        <v>8</v>
      </c>
      <c r="K2" s="74" t="s">
        <v>67</v>
      </c>
      <c r="L2" s="74" t="s">
        <v>409</v>
      </c>
      <c r="M2" s="74" t="s">
        <v>410</v>
      </c>
      <c r="N2" s="74" t="s">
        <v>520</v>
      </c>
      <c r="O2" s="74" t="s">
        <v>754</v>
      </c>
      <c r="P2" s="74" t="s">
        <v>787</v>
      </c>
      <c r="Q2" s="74" t="s">
        <v>521</v>
      </c>
      <c r="R2" s="74" t="s">
        <v>522</v>
      </c>
      <c r="S2" s="74" t="s">
        <v>523</v>
      </c>
      <c r="T2" s="74" t="s">
        <v>755</v>
      </c>
      <c r="U2" s="74" t="s">
        <v>524</v>
      </c>
      <c r="V2" s="74" t="s">
        <v>525</v>
      </c>
      <c r="W2" s="74" t="s">
        <v>526</v>
      </c>
      <c r="X2" s="74" t="s">
        <v>527</v>
      </c>
      <c r="Y2" s="74" t="s">
        <v>528</v>
      </c>
      <c r="Z2" s="74" t="s">
        <v>756</v>
      </c>
      <c r="AA2" s="120" t="s">
        <v>788</v>
      </c>
      <c r="AB2" s="74" t="s">
        <v>541</v>
      </c>
      <c r="AC2" s="74" t="s">
        <v>552</v>
      </c>
    </row>
    <row r="3" spans="1:29" x14ac:dyDescent="0.35">
      <c r="A3" t="s">
        <v>432</v>
      </c>
      <c r="B3" t="s">
        <v>177</v>
      </c>
      <c r="C3" t="s">
        <v>435</v>
      </c>
      <c r="D3" t="s">
        <v>432</v>
      </c>
      <c r="E3" t="s">
        <v>615</v>
      </c>
      <c r="F3" s="2" cm="1">
        <f t="array" ref="F3">_xll.FDS(D3,"JULIAN(FMA_DIV_YLD(NTMA,NOW,NOW,M,""PORTAGG"",""MEANR"").dates)")</f>
        <v>45471</v>
      </c>
      <c r="G3" s="4" cm="1">
        <f t="array" ref="G3">_xll.FDS(D3,"FMA_PE(LTM,0,,,""PORTAGG"",""MEANR"")")</f>
        <v>14.177960247748301</v>
      </c>
      <c r="H3" s="4" cm="1">
        <f t="array" ref="H3">_xll.FDS(D3,"FMA_PE(NTMA,0,,,""PORTAGG"",""MEANR"")")</f>
        <v>11.9711810989523</v>
      </c>
      <c r="I3" cm="1">
        <f t="array" ref="I3">_xll.FDS(D3,"FMA_DIV_YLD(NTMA,NOW,NOW,M,""PORTAGG"",""MEANR"")")</f>
        <v>3.0594944481674999</v>
      </c>
      <c r="J3" s="55" cm="1">
        <f t="array" ref="J3">IFERROR(_xll.FDS(D3,"FG_FCF_YIELD_NTM(0)"),(1/G3*100))</f>
        <v>6.2472979892814102</v>
      </c>
      <c r="K3" s="3" cm="1">
        <f t="array" ref="K3">_xll.FDS(D3,"FMA_EVAL_EBITDA(NTMA,0,,,""PORTAGG"",""MEANR"")")</f>
        <v>9.4755291176838501</v>
      </c>
      <c r="L3" cm="1">
        <f t="array" ref="L3">_xll.FDS(D3,"FMA_EVAL_EBIT(LTMA,NOW,NOW,M,""PORTAGG"",""MEANR"")")</f>
        <v>16.139759811394399</v>
      </c>
      <c r="M3">
        <f>HLOOKUP(D3,'Index ROE'!$A$1:$V$25,25,FALSE)</f>
        <v>12.017379609927101</v>
      </c>
      <c r="N3">
        <f>VLOOKUP(A3,'LIQIDITY 2'!$A$3:$E$26,5,FALSE)</f>
        <v>2.2690000000000001</v>
      </c>
      <c r="O3" cm="1">
        <f t="array" ref="O3">IFERROR(IFERROR(IFERROR(IFERROR(_xll.FDS(B3,"IMF_IFS_RCPI_Q(0)"),_xll.FDS(B3,"IMF_IFS_RCPI_Q(-1AM)")),_xll.FDS(B3,"IMF_IFS_RCPI_Q(-2AM)")),_xll.FDS(B3,"IMF_IFS_RCPI_Q(-3AM)")),$D$31)</f>
        <v>-3.2184999999999998E-2</v>
      </c>
      <c r="P3">
        <f>VLOOKUP(E3,GDP_GROWTH!$B$10:$W$165,22,FALSE)</f>
        <v>5.6866931054303738</v>
      </c>
      <c r="Q3">
        <f t="shared" ref="Q3:Q23" si="0">I3-N3</f>
        <v>0.79049444816749981</v>
      </c>
      <c r="R3" s="55">
        <f t="shared" ref="R3:R23" si="1">J3-N3</f>
        <v>3.9782979892814101</v>
      </c>
      <c r="S3">
        <f t="shared" ref="S3:S23" si="2">M3-N3</f>
        <v>9.7483796099271007</v>
      </c>
      <c r="T3">
        <f>M3-O3</f>
        <v>12.049564609927101</v>
      </c>
      <c r="U3" cm="1">
        <f t="array" ref="U3">_xlfn.PERCENTRANK.EXC(_xlfn._xlws.FILTER(Q$3:Q$23, ISNUMBER(Q$3:Q$23)),Q3)*100</f>
        <v>68.100000000000009</v>
      </c>
      <c r="V3" cm="1">
        <f t="array" ref="V3">_xlfn.PERCENTRANK.EXC(_xlfn._xlws.FILTER(R$3:R$23, ISNUMBER(R$3:R$23)),R3)*100</f>
        <v>68.100000000000009</v>
      </c>
      <c r="W3" cm="1">
        <f t="array" ref="W3">_xlfn.PERCENTRANK.EXC(_xlfn._xlws.FILTER(S$3:S$23, ISNUMBER(S$3:S$23)),S3)*100</f>
        <v>86.3</v>
      </c>
      <c r="X3" cm="1">
        <f t="array" ref="X3">(1-_xlfn.PERCENTRANK.EXC(_xlfn._xlws.FILTER(G$3:G$23, ISNUMBER(G$3:G$23)),G3))*100</f>
        <v>50</v>
      </c>
      <c r="Y3" cm="1">
        <f t="array" ref="Y3">(1-_xlfn.PERCENTRANK.EXC(_xlfn._xlws.FILTER(H$3:H$23, ISNUMBER(H$3:H$23)),H3))*100</f>
        <v>36.4</v>
      </c>
      <c r="Z3" cm="1">
        <f t="array" ref="Z3">_xlfn.PERCENTRANK.EXC(_xlfn._xlws.FILTER(T$3:T$23, ISNUMBER(T$3:T$23)),T3)*100</f>
        <v>90.9</v>
      </c>
      <c r="AA3" cm="1">
        <f t="array" ref="AA3">_xlfn.PERCENTRANK.EXC(_xlfn._xlws.FILTER(P$3:P$23, ISNUMBER(P$3:P$23)),P3)*100</f>
        <v>86.3</v>
      </c>
      <c r="AB3">
        <f>U3*Assumption!$E$40 + V3*Assumption!$F$40 + X3*Assumption!$G$40 + Y3*Assumption!$H$40 + W3*Assumption!$I$40 +Z3* Assumption!$K$40 + AA3* Assumption!$J$40</f>
        <v>59.750000000000014</v>
      </c>
      <c r="AC3" cm="1">
        <f t="array" ref="AC3">_xlfn.PERCENTRANK.EXC(_xlfn._xlws.FILTER(AB$3:AB$23, ISNUMBER(AB$3:AB$23)),AB3)*100</f>
        <v>63.6</v>
      </c>
    </row>
    <row r="4" spans="1:29" x14ac:dyDescent="0.35">
      <c r="A4" t="s">
        <v>27</v>
      </c>
      <c r="B4" t="s">
        <v>294</v>
      </c>
      <c r="C4" t="s">
        <v>436</v>
      </c>
      <c r="D4" t="s">
        <v>27</v>
      </c>
      <c r="E4" t="s">
        <v>614</v>
      </c>
      <c r="F4" s="2" cm="1">
        <f t="array" ref="F4">_xll.FDS(D4,"JULIAN(FMA_DIV_YLD(NTMA,NOW,NOW,M,""PORTAGG"",""MEANR"").dates)")</f>
        <v>45471</v>
      </c>
      <c r="G4" s="4" cm="1">
        <f t="array" ref="G4">_xll.FDS(D4,"FMA_PE(LTM,0,,,""PORTAGG"",""MEANR"")")</f>
        <v>13.070901213677701</v>
      </c>
      <c r="H4" s="4" cm="1">
        <f t="array" ref="H4">_xll.FDS(D4,"FMA_PE(NTMA,0,,,""PORTAGG"",""MEANR"")")</f>
        <v>7.8413961510418497</v>
      </c>
      <c r="I4" cm="1">
        <f t="array" ref="I4">_xll.FDS(D4,"FMA_DIV_YLD(NTMA,NOW,NOW,M,""PORTAGG"",""MEANR"")")</f>
        <v>5.3233793870606796</v>
      </c>
      <c r="J4" s="55" cm="1">
        <f t="array" ref="J4">IFERROR(_xll.FDS(D4,"FG_FCF_YIELD_NTM(0)"),(1/G4*100))</f>
        <v>10.3335709166714</v>
      </c>
      <c r="K4" s="3" cm="1">
        <f t="array" ref="K4">_xll.FDS(D4,"FMA_EVAL_EBITDA(NTMA,0,,,""PORTAGG"",""MEANR"")")</f>
        <v>6.1611457966344201</v>
      </c>
      <c r="L4" cm="1">
        <f t="array" ref="L4">_xll.FDS(D4,"FMA_EVAL_EBIT(LTMA,NOW,NOW,M,""PORTAGG"",""MEANR"")")</f>
        <v>9.6548769249995292</v>
      </c>
      <c r="M4">
        <f>HLOOKUP(D4,'Index ROE'!$A$1:$V$25,25,FALSE)</f>
        <v>13.770087944195501</v>
      </c>
      <c r="N4">
        <f>VLOOKUP(A4,'LIQIDITY 2'!$A$3:$E$26,5,FALSE)</f>
        <v>2.8277302</v>
      </c>
      <c r="O4" cm="1">
        <f t="array" ref="O4">IFERROR(IFERROR(IFERROR(IFERROR(_xll.FDS(B4,"IMF_IFS_RCPI_Q(0)"),_xll.FDS(B4,"IMF_IFS_RCPI_Q(-1AM)")),_xll.FDS(B4,"IMF_IFS_RCPI_Q(-2AM)")),_xll.FDS(B4,"IMF_IFS_RCPI_Q(-3AM)")),$D$31)</f>
        <v>4.0412949999999999</v>
      </c>
      <c r="P4">
        <f>VLOOKUP(E4,GDP_GROWTH!$B$10:$W$165,22,FALSE)</f>
        <v>2.8445276358834981</v>
      </c>
      <c r="Q4">
        <f t="shared" si="0"/>
        <v>2.4956491870606796</v>
      </c>
      <c r="R4" s="55">
        <f t="shared" si="1"/>
        <v>7.5058407166714005</v>
      </c>
      <c r="S4">
        <f t="shared" si="2"/>
        <v>10.942357744195501</v>
      </c>
      <c r="T4">
        <f t="shared" ref="T4:T23" si="3">M4-O4</f>
        <v>9.7287929441955008</v>
      </c>
      <c r="U4" cm="1">
        <f t="array" ref="U4">_xlfn.PERCENTRANK.EXC(_xlfn._xlws.FILTER(Q$3:Q$23, ISNUMBER(Q$3:Q$23)),Q4)*100</f>
        <v>90.9</v>
      </c>
      <c r="V4" cm="1">
        <f t="array" ref="V4">_xlfn.PERCENTRANK.EXC(_xlfn._xlws.FILTER(R$3:R$23, ISNUMBER(R$3:R$23)),R4)*100</f>
        <v>90.9</v>
      </c>
      <c r="W4" cm="1">
        <f t="array" ref="W4">_xlfn.PERCENTRANK.EXC(_xlfn._xlws.FILTER(S$3:S$23, ISNUMBER(S$3:S$23)),S4)*100</f>
        <v>95.399999999999991</v>
      </c>
      <c r="X4" cm="1">
        <f t="array" ref="X4">(1-_xlfn.PERCENTRANK.EXC(_xlfn._xlws.FILTER(G$3:G$23, ISNUMBER(G$3:G$23)),G4))*100</f>
        <v>54.6</v>
      </c>
      <c r="Y4" cm="1">
        <f t="array" ref="Y4">(1-_xlfn.PERCENTRANK.EXC(_xlfn._xlws.FILTER(H$3:H$23, ISNUMBER(H$3:H$23)),H4))*100</f>
        <v>81.899999999999991</v>
      </c>
      <c r="Z4" cm="1">
        <f t="array" ref="Z4">_xlfn.PERCENTRANK.EXC(_xlfn._xlws.FILTER(T$3:T$23, ISNUMBER(T$3:T$23)),T4)*100</f>
        <v>50</v>
      </c>
      <c r="AA4" cm="1">
        <f t="array" ref="AA4">_xlfn.PERCENTRANK.EXC(_xlfn._xlws.FILTER(P$3:P$23, ISNUMBER(P$3:P$23)),P4)*100</f>
        <v>50</v>
      </c>
      <c r="AB4">
        <f>U4*Assumption!$E$40 + V4*Assumption!$F$40 + X4*Assumption!$G$40 + Y4*Assumption!$H$40 + W4*Assumption!$I$40 +Z4* Assumption!$K$40 + AA4* Assumption!$J$40</f>
        <v>75.935000000000002</v>
      </c>
      <c r="AC4" cm="1">
        <f t="array" ref="AC4">_xlfn.PERCENTRANK.EXC(_xlfn._xlws.FILTER(AB$3:AB$23, ISNUMBER(AB$3:AB$23)),AB4)*100</f>
        <v>90.9</v>
      </c>
    </row>
    <row r="5" spans="1:29" x14ac:dyDescent="0.35">
      <c r="A5" t="s">
        <v>35</v>
      </c>
      <c r="B5" t="s">
        <v>187</v>
      </c>
      <c r="C5" t="s">
        <v>437</v>
      </c>
      <c r="D5" t="s">
        <v>35</v>
      </c>
      <c r="E5" t="s">
        <v>651</v>
      </c>
      <c r="F5" s="2" cm="1">
        <f t="array" ref="F5">_xll.FDS(D5,"JULIAN(FMA_DIV_YLD(NTMA,NOW,NOW,M,""PORTAGG"",""MEANR"").dates)")</f>
        <v>45471</v>
      </c>
      <c r="G5" s="4" cm="1">
        <f t="array" ref="G5">_xll.FDS(D5,"FMA_PE(LTM,0,,,""PORTAGG"",""MEANR"")")</f>
        <v>15.872006541019999</v>
      </c>
      <c r="H5" s="4" cm="1">
        <f t="array" ref="H5">_xll.FDS(D5,"FMA_PE(NTMA,0,,,""PORTAGG"",""MEANR"")")</f>
        <v>12.307339714355701</v>
      </c>
      <c r="I5" cm="1">
        <f t="array" ref="I5">_xll.FDS(D5,"FMA_DIV_YLD(NTMA,NOW,NOW,M,""PORTAGG"",""MEANR"")")</f>
        <v>4.4859949952355302</v>
      </c>
      <c r="J5" s="55" cm="1">
        <f t="array" ref="J5">IFERROR(_xll.FDS(D5,"FG_FCF_YIELD_NTM(0)"),(1/G5*100))</f>
        <v>6.300400629344348</v>
      </c>
      <c r="K5" s="3" cm="1">
        <f t="array" ref="K5">_xll.FDS(D5,"FMA_EVAL_EBITDA(NTMA,0,,,""PORTAGG"",""MEANR"")")</f>
        <v>6.3069086482160603</v>
      </c>
      <c r="L5" cm="1">
        <f t="array" ref="L5">_xll.FDS(D5,"FMA_EVAL_EBIT(LTMA,NOW,NOW,M,""PORTAGG"",""MEANR"")")</f>
        <v>9.3263157691969898</v>
      </c>
      <c r="M5">
        <f>HLOOKUP(D5,'Index ROE'!$A$1:$V$25,25,FALSE)</f>
        <v>14.02340332534</v>
      </c>
      <c r="N5">
        <f>VLOOKUP(A5,'LIQIDITY 2'!$A$3:$E$26,5,FALSE)</f>
        <v>6.9440169999999997</v>
      </c>
      <c r="O5" cm="1">
        <f t="array" ref="O5">IFERROR(IFERROR(IFERROR(IFERROR(_xll.FDS(B5,"IMF_IFS_RCPI_Q(0)"),_xll.FDS(B5,"IMF_IFS_RCPI_Q(-1AM)")),_xll.FDS(B5,"IMF_IFS_RCPI_Q(-2AM)")),_xll.FDS(B5,"IMF_IFS_RCPI_Q(-3AM)")),$D$31)</f>
        <v>3.2410160000000001</v>
      </c>
      <c r="P5">
        <f>VLOOKUP(E5,GDP_GROWTH!$B$10:$W$165,22,FALSE)</f>
        <v>3.8153657829076093</v>
      </c>
      <c r="Q5">
        <f t="shared" si="0"/>
        <v>-2.4580220047644694</v>
      </c>
      <c r="R5" s="55">
        <f t="shared" si="1"/>
        <v>-0.64361637065565169</v>
      </c>
      <c r="S5">
        <f t="shared" si="2"/>
        <v>7.0793863253400007</v>
      </c>
      <c r="T5">
        <f t="shared" si="3"/>
        <v>10.78238732534</v>
      </c>
      <c r="U5" cm="1">
        <f t="array" ref="U5">_xlfn.PERCENTRANK.EXC(_xlfn._xlws.FILTER(Q$3:Q$23, ISNUMBER(Q$3:Q$23)),Q5)*100</f>
        <v>36.299999999999997</v>
      </c>
      <c r="V5" cm="1">
        <f t="array" ref="V5">_xlfn.PERCENTRANK.EXC(_xlfn._xlws.FILTER(R$3:R$23, ISNUMBER(R$3:R$23)),R5)*100</f>
        <v>31.8</v>
      </c>
      <c r="W5" cm="1">
        <f t="array" ref="W5">_xlfn.PERCENTRANK.EXC(_xlfn._xlws.FILTER(S$3:S$23, ISNUMBER(S$3:S$23)),S5)*100</f>
        <v>54.500000000000007</v>
      </c>
      <c r="X5" cm="1">
        <f t="array" ref="X5">(1-_xlfn.PERCENTRANK.EXC(_xlfn._xlws.FILTER(G$3:G$23, ISNUMBER(G$3:G$23)),G5))*100</f>
        <v>41</v>
      </c>
      <c r="Y5" cm="1">
        <f t="array" ref="Y5">(1-_xlfn.PERCENTRANK.EXC(_xlfn._xlws.FILTER(H$3:H$23, ISNUMBER(H$3:H$23)),H5))*100</f>
        <v>31.899999999999995</v>
      </c>
      <c r="Z5" cm="1">
        <f t="array" ref="Z5">_xlfn.PERCENTRANK.EXC(_xlfn._xlws.FILTER(T$3:T$23, ISNUMBER(T$3:T$23)),T5)*100</f>
        <v>77.2</v>
      </c>
      <c r="AA5" cm="1">
        <f t="array" ref="AA5">_xlfn.PERCENTRANK.EXC(_xlfn._xlws.FILTER(P$3:P$23, ISNUMBER(P$3:P$23)),P5)*100</f>
        <v>68.100000000000009</v>
      </c>
      <c r="AB5">
        <f>U5*Assumption!$E$40 + V5*Assumption!$F$40 + X5*Assumption!$G$40 + Y5*Assumption!$H$40 + W5*Assumption!$I$40 +Z5* Assumption!$K$40 + AA5* Assumption!$J$40</f>
        <v>41.16</v>
      </c>
      <c r="AC5" cm="1">
        <f t="array" ref="AC5">_xlfn.PERCENTRANK.EXC(_xlfn._xlws.FILTER(AB$3:AB$23, ISNUMBER(AB$3:AB$23)),AB5)*100</f>
        <v>40.9</v>
      </c>
    </row>
    <row r="6" spans="1:29" x14ac:dyDescent="0.35">
      <c r="A6" t="s">
        <v>30</v>
      </c>
      <c r="B6" t="s">
        <v>205</v>
      </c>
      <c r="C6" t="s">
        <v>438</v>
      </c>
      <c r="D6" t="s">
        <v>30</v>
      </c>
      <c r="E6" t="s">
        <v>699</v>
      </c>
      <c r="F6" s="2" cm="1">
        <f t="array" ref="F6">_xll.FDS(D6,"JULIAN(FMA_DIV_YLD(NTMA,NOW,NOW,M,""PORTAGG"",""MEANR"").dates)")</f>
        <v>45471</v>
      </c>
      <c r="G6" s="4" cm="1">
        <f t="array" ref="G6">_xll.FDS(D6,"FMA_PE(LTM,0,,,""PORTAGG"",""MEANR"")")</f>
        <v>10.581940230409</v>
      </c>
      <c r="H6" s="4" cm="1">
        <f t="array" ref="H6">_xll.FDS(D6,"FMA_PE(NTMA,0,,,""PORTAGG"",""MEANR"")")</f>
        <v>9.4714454263320302</v>
      </c>
      <c r="I6" cm="1">
        <f t="array" ref="I6">_xll.FDS(D6,"FMA_DIV_YLD(NTMA,NOW,NOW,M,""PORTAGG"",""MEANR"")")</f>
        <v>3.3035463785258701</v>
      </c>
      <c r="J6" s="55" cm="1">
        <f t="array" ref="J6">IFERROR(_xll.FDS(D6,"FG_FCF_YIELD_NTM(0)"),(1/G6*100))</f>
        <v>6.9830237728627296</v>
      </c>
      <c r="K6" s="3" cm="1">
        <f t="array" ref="K6">_xll.FDS(D6,"FMA_EVAL_EBITDA(NTMA,0,,,""PORTAGG"",""MEANR"")")</f>
        <v>8.1792653249376599</v>
      </c>
      <c r="L6" cm="1">
        <f t="array" ref="L6">_xll.FDS(D6,"FMA_EVAL_EBIT(LTMA,NOW,NOW,M,""PORTAGG"",""MEANR"")")</f>
        <v>12.3884980267998</v>
      </c>
      <c r="M6">
        <f>HLOOKUP(D6,'Index ROE'!$A$1:$V$25,25,FALSE)</f>
        <v>11.940709445037699</v>
      </c>
      <c r="N6">
        <f>VLOOKUP(A6,'LIQIDITY 2'!$A$3:$E$26,5,FALSE)</f>
        <v>6.2653040000000004</v>
      </c>
      <c r="O6" cm="1">
        <f t="array" ref="O6">IFERROR(IFERROR(IFERROR(IFERROR(_xll.FDS(B6,"IMF_IFS_RCPI_Q(0)"),_xll.FDS(B6,"IMF_IFS_RCPI_Q(-1AM)")),_xll.FDS(B6,"IMF_IFS_RCPI_Q(-2AM)")),_xll.FDS(B6,"IMF_IFS_RCPI_Q(-3AM)")),$D$31)</f>
        <v>3.2976057999999999</v>
      </c>
      <c r="P6">
        <f>VLOOKUP(E6,GDP_GROWTH!$B$10:$W$165,22,FALSE)</f>
        <v>3.9454348254778893</v>
      </c>
      <c r="Q6">
        <f t="shared" si="0"/>
        <v>-2.9617576214741304</v>
      </c>
      <c r="R6" s="55">
        <f t="shared" si="1"/>
        <v>0.71771977286272914</v>
      </c>
      <c r="S6">
        <f t="shared" si="2"/>
        <v>5.6754054450376987</v>
      </c>
      <c r="T6">
        <f t="shared" si="3"/>
        <v>8.6431036450376997</v>
      </c>
      <c r="U6" cm="1">
        <f t="array" ref="U6">_xlfn.PERCENTRANK.EXC(_xlfn._xlws.FILTER(Q$3:Q$23, ISNUMBER(Q$3:Q$23)),Q6)*100</f>
        <v>27.200000000000003</v>
      </c>
      <c r="V6" cm="1">
        <f t="array" ref="V6">_xlfn.PERCENTRANK.EXC(_xlfn._xlws.FILTER(R$3:R$23, ISNUMBER(R$3:R$23)),R6)*100</f>
        <v>40.9</v>
      </c>
      <c r="W6" cm="1">
        <f t="array" ref="W6">_xlfn.PERCENTRANK.EXC(_xlfn._xlws.FILTER(S$3:S$23, ISNUMBER(S$3:S$23)),S6)*100</f>
        <v>18.099999999999998</v>
      </c>
      <c r="X6" cm="1">
        <f t="array" ref="X6">(1-_xlfn.PERCENTRANK.EXC(_xlfn._xlws.FILTER(G$3:G$23, ISNUMBER(G$3:G$23)),G6))*100</f>
        <v>72.8</v>
      </c>
      <c r="Y6" cm="1">
        <f t="array" ref="Y6">(1-_xlfn.PERCENTRANK.EXC(_xlfn._xlws.FILTER(H$3:H$23, ISNUMBER(H$3:H$23)),H6))*100</f>
        <v>68.199999999999989</v>
      </c>
      <c r="Z6" cm="1">
        <f t="array" ref="Z6">_xlfn.PERCENTRANK.EXC(_xlfn._xlws.FILTER(T$3:T$23, ISNUMBER(T$3:T$23)),T6)*100</f>
        <v>22.7</v>
      </c>
      <c r="AA6" cm="1">
        <f t="array" ref="AA6">_xlfn.PERCENTRANK.EXC(_xlfn._xlws.FILTER(P$3:P$23, ISNUMBER(P$3:P$23)),P6)*100</f>
        <v>72.7</v>
      </c>
      <c r="AB6">
        <f>U6*Assumption!$E$40 + V6*Assumption!$F$40 + X6*Assumption!$G$40 + Y6*Assumption!$H$40 + W6*Assumption!$I$40 +Z6* Assumption!$K$40 + AA6* Assumption!$J$40</f>
        <v>50.914999999999999</v>
      </c>
      <c r="AC6" cm="1">
        <f t="array" ref="AC6">_xlfn.PERCENTRANK.EXC(_xlfn._xlws.FILTER(AB$3:AB$23, ISNUMBER(AB$3:AB$23)),AB6)*100</f>
        <v>59</v>
      </c>
    </row>
    <row r="7" spans="1:29" x14ac:dyDescent="0.35">
      <c r="A7" t="s">
        <v>23</v>
      </c>
      <c r="B7" t="s">
        <v>257</v>
      </c>
      <c r="C7" t="s">
        <v>439</v>
      </c>
      <c r="D7" t="s">
        <v>23</v>
      </c>
      <c r="E7" t="s">
        <v>700</v>
      </c>
      <c r="F7" s="2" cm="1">
        <f t="array" ref="F7">_xll.FDS(D7,"JULIAN(FMA_DIV_YLD(NTMA,NOW,NOW,M,""PORTAGG"",""MEANR"").dates)")</f>
        <v>45471</v>
      </c>
      <c r="G7" s="4" cm="1">
        <f t="array" ref="G7">_xll.FDS(D7,"FMA_PE(LTM,0,,,""PORTAGG"",""MEANR"")")</f>
        <v>8.8996984607795806</v>
      </c>
      <c r="H7" s="4" cm="1">
        <f t="array" ref="H7">_xll.FDS(D7,"FMA_PE(NTMA,0,,,""PORTAGG"",""MEANR"")")</f>
        <v>8.6990798013894608</v>
      </c>
      <c r="I7" cm="1">
        <f t="array" ref="I7">_xll.FDS(D7,"FMA_DIV_YLD(NTMA,NOW,NOW,M,""PORTAGG"",""MEANR"")")</f>
        <v>4.98022050642426</v>
      </c>
      <c r="J7" s="55" cm="1">
        <f t="array" ref="J7">IFERROR(_xll.FDS(D7,"FG_FCF_YIELD_NTM(0)"),(1/G7*100))</f>
        <v>11.236335752350914</v>
      </c>
      <c r="K7" s="3" cm="1">
        <f t="array" ref="K7">_xll.FDS(D7,"FMA_EVAL_EBITDA(NTMA,0,,,""PORTAGG"",""MEANR"")")</f>
        <v>4.7602209283763104</v>
      </c>
      <c r="L7" cm="1">
        <f t="array" ref="L7">_xll.FDS(D7,"FMA_EVAL_EBIT(LTMA,NOW,NOW,M,""PORTAGG"",""MEANR"")")</f>
        <v>8.4400188203353199</v>
      </c>
      <c r="M7">
        <f>HLOOKUP(D7,'Index ROE'!$A$1:$V$25,25,FALSE)</f>
        <v>12.394579327579899</v>
      </c>
      <c r="N7">
        <f>VLOOKUP(A7,'LIQIDITY 2'!$A$3:$E$26,5,FALSE)</f>
        <v>5.5731000000000002</v>
      </c>
      <c r="O7" cm="1">
        <f t="array" ref="O7">IFERROR(IFERROR(IFERROR(IFERROR(_xll.FDS(B7,"IMF_IFS_RCPI_Q(0)"),_xll.FDS(B7,"IMF_IFS_RCPI_Q(-1AM)")),_xll.FDS(B7,"IMF_IFS_RCPI_Q(-2AM)")),_xll.FDS(B7,"IMF_IFS_RCPI_Q(-3AM)")),$D$31)</f>
        <v>3.0462574999999998</v>
      </c>
      <c r="P7">
        <f>VLOOKUP(E7,GDP_GROWTH!$B$10:$W$165,22,FALSE)</f>
        <v>3.7030435940290873</v>
      </c>
      <c r="Q7">
        <f t="shared" si="0"/>
        <v>-0.59287949357574021</v>
      </c>
      <c r="R7" s="55">
        <f t="shared" si="1"/>
        <v>5.6632357523509143</v>
      </c>
      <c r="S7">
        <f t="shared" si="2"/>
        <v>6.8214793275798993</v>
      </c>
      <c r="T7">
        <f t="shared" si="3"/>
        <v>9.3483218275799</v>
      </c>
      <c r="U7" cm="1">
        <f t="array" ref="U7">_xlfn.PERCENTRANK.EXC(_xlfn._xlws.FILTER(Q$3:Q$23, ISNUMBER(Q$3:Q$23)),Q7)*100</f>
        <v>54.500000000000007</v>
      </c>
      <c r="V7" cm="1">
        <f t="array" ref="V7">_xlfn.PERCENTRANK.EXC(_xlfn._xlws.FILTER(R$3:R$23, ISNUMBER(R$3:R$23)),R7)*100</f>
        <v>86.3</v>
      </c>
      <c r="W7" cm="1">
        <f t="array" ref="W7">_xlfn.PERCENTRANK.EXC(_xlfn._xlws.FILTER(S$3:S$23, ISNUMBER(S$3:S$23)),S7)*100</f>
        <v>50</v>
      </c>
      <c r="X7" cm="1">
        <f t="array" ref="X7">(1-_xlfn.PERCENTRANK.EXC(_xlfn._xlws.FILTER(G$3:G$23, ISNUMBER(G$3:G$23)),G7))*100</f>
        <v>86.4</v>
      </c>
      <c r="Y7" cm="1">
        <f t="array" ref="Y7">(1-_xlfn.PERCENTRANK.EXC(_xlfn._xlws.FILTER(H$3:H$23, ISNUMBER(H$3:H$23)),H7))*100</f>
        <v>77.3</v>
      </c>
      <c r="Z7" cm="1">
        <f t="array" ref="Z7">_xlfn.PERCENTRANK.EXC(_xlfn._xlws.FILTER(T$3:T$23, ISNUMBER(T$3:T$23)),T7)*100</f>
        <v>45.4</v>
      </c>
      <c r="AA7" cm="1">
        <f t="array" ref="AA7">_xlfn.PERCENTRANK.EXC(_xlfn._xlws.FILTER(P$3:P$23, ISNUMBER(P$3:P$23)),P7)*100</f>
        <v>63.6</v>
      </c>
      <c r="AB7">
        <f>U7*Assumption!$E$40 + V7*Assumption!$F$40 + X7*Assumption!$G$40 + Y7*Assumption!$H$40 + W7*Assumption!$I$40 +Z7* Assumption!$K$40 + AA7* Assumption!$J$40</f>
        <v>74.765000000000015</v>
      </c>
      <c r="AC7" cm="1">
        <f t="array" ref="AC7">_xlfn.PERCENTRANK.EXC(_xlfn._xlws.FILTER(AB$3:AB$23, ISNUMBER(AB$3:AB$23)),AB7)*100</f>
        <v>86.3</v>
      </c>
    </row>
    <row r="8" spans="1:29" x14ac:dyDescent="0.35">
      <c r="A8" t="s">
        <v>29</v>
      </c>
      <c r="B8" t="s">
        <v>304</v>
      </c>
      <c r="C8" t="s">
        <v>440</v>
      </c>
      <c r="D8" t="s">
        <v>29</v>
      </c>
      <c r="E8" t="s">
        <v>698</v>
      </c>
      <c r="F8" s="2" cm="1">
        <f t="array" ref="F8">_xll.FDS(D8,"JULIAN(FMA_DIV_YLD(NTMA,NOW,NOW,M,""PORTAGG"",""MEANR"").dates)")</f>
        <v>45471</v>
      </c>
      <c r="G8" s="4" cm="1">
        <f t="array" ref="G8">_xll.FDS(D8,"FMA_PE(LTM,0,,,""PORTAGG"",""MEANR"")")</f>
        <v>17.8648816057921</v>
      </c>
      <c r="H8" s="4" cm="1">
        <f t="array" ref="H8">_xll.FDS(D8,"FMA_PE(NTMA,0,,,""PORTAGG"",""MEANR"")")</f>
        <v>11.533968512352599</v>
      </c>
      <c r="I8" cm="1">
        <f t="array" ref="I8">_xll.FDS(D8,"FMA_DIV_YLD(NTMA,NOW,NOW,M,""PORTAGG"",""MEANR"")")</f>
        <v>4.0470165278408698</v>
      </c>
      <c r="J8" s="55" cm="1">
        <f t="array" ref="J8">IFERROR(_xll.FDS(D8,"FG_FCF_YIELD_NTM(0)"),(1/G8*100))</f>
        <v>8.5718184172938194</v>
      </c>
      <c r="K8" s="3" cm="1">
        <f t="array" ref="K8">_xll.FDS(D8,"FMA_EVAL_EBITDA(NTMA,0,,,""PORTAGG"",""MEANR"")")</f>
        <v>6.32890769438802</v>
      </c>
      <c r="L8" cm="1">
        <f t="array" ref="L8">_xll.FDS(D8,"FMA_EVAL_EBIT(LTMA,NOW,NOW,M,""PORTAGG"",""MEANR"")")</f>
        <v>12.4680499889226</v>
      </c>
      <c r="M8">
        <f>HLOOKUP(D8,'Index ROE'!$A$1:$V$25,25,FALSE)</f>
        <v>12.932447426875701</v>
      </c>
      <c r="N8">
        <f>VLOOKUP(A8,'LIQIDITY 2'!$A$3:$E$26,5,FALSE)</f>
        <v>6.9470080000000003</v>
      </c>
      <c r="O8" cm="1">
        <f t="array" ref="O8">IFERROR(IFERROR(IFERROR(IFERROR(_xll.FDS(B8,"IMF_IFS_RCPI_Q(0)"),_xll.FDS(B8,"IMF_IFS_RCPI_Q(-1AM)")),_xll.FDS(B8,"IMF_IFS_RCPI_Q(-2AM)")),_xll.FDS(B8,"IMF_IFS_RCPI_Q(-3AM)")),$D$31)</f>
        <v>2.8496776000000001</v>
      </c>
      <c r="P8">
        <f>VLOOKUP(E8,GDP_GROWTH!$B$10:$W$165,22,FALSE)</f>
        <v>2.3642552134477857</v>
      </c>
      <c r="Q8">
        <f t="shared" si="0"/>
        <v>-2.8999914721591304</v>
      </c>
      <c r="R8" s="55">
        <f t="shared" si="1"/>
        <v>1.6248104172938191</v>
      </c>
      <c r="S8">
        <f t="shared" si="2"/>
        <v>5.9854394268757005</v>
      </c>
      <c r="T8">
        <f t="shared" si="3"/>
        <v>10.082769826875701</v>
      </c>
      <c r="U8" cm="1">
        <f t="array" ref="U8">_xlfn.PERCENTRANK.EXC(_xlfn._xlws.FILTER(Q$3:Q$23, ISNUMBER(Q$3:Q$23)),Q8)*100</f>
        <v>31.8</v>
      </c>
      <c r="V8" cm="1">
        <f t="array" ref="V8">_xlfn.PERCENTRANK.EXC(_xlfn._xlws.FILTER(R$3:R$23, ISNUMBER(R$3:R$23)),R8)*100</f>
        <v>45.4</v>
      </c>
      <c r="W8" cm="1">
        <f t="array" ref="W8">_xlfn.PERCENTRANK.EXC(_xlfn._xlws.FILTER(S$3:S$23, ISNUMBER(S$3:S$23)),S8)*100</f>
        <v>31.8</v>
      </c>
      <c r="X8" cm="1">
        <f t="array" ref="X8">(1-_xlfn.PERCENTRANK.EXC(_xlfn._xlws.FILTER(G$3:G$23, ISNUMBER(G$3:G$23)),G8))*100</f>
        <v>27.3</v>
      </c>
      <c r="Y8" cm="1">
        <f t="array" ref="Y8">(1-_xlfn.PERCENTRANK.EXC(_xlfn._xlws.FILTER(H$3:H$23, ISNUMBER(H$3:H$23)),H8))*100</f>
        <v>41</v>
      </c>
      <c r="Z8" cm="1">
        <f t="array" ref="Z8">_xlfn.PERCENTRANK.EXC(_xlfn._xlws.FILTER(T$3:T$23, ISNUMBER(T$3:T$23)),T8)*100</f>
        <v>59</v>
      </c>
      <c r="AA8" cm="1">
        <f t="array" ref="AA8">_xlfn.PERCENTRANK.EXC(_xlfn._xlws.FILTER(P$3:P$23, ISNUMBER(P$3:P$23)),P8)*100</f>
        <v>36.299999999999997</v>
      </c>
      <c r="AB8">
        <f>U8*Assumption!$E$40 + V8*Assumption!$F$40 + X8*Assumption!$G$40 + Y8*Assumption!$H$40 + W8*Assumption!$I$40 +Z8* Assumption!$K$40 + AA8* Assumption!$J$40</f>
        <v>39.094999999999999</v>
      </c>
      <c r="AC8" cm="1">
        <f t="array" ref="AC8">_xlfn.PERCENTRANK.EXC(_xlfn._xlws.FILTER(AB$3:AB$23, ISNUMBER(AB$3:AB$23)),AB8)*100</f>
        <v>36.299999999999997</v>
      </c>
    </row>
    <row r="9" spans="1:29" x14ac:dyDescent="0.35">
      <c r="A9" t="s">
        <v>33</v>
      </c>
      <c r="B9" t="s">
        <v>194</v>
      </c>
      <c r="C9" t="s">
        <v>441</v>
      </c>
      <c r="D9" t="s">
        <v>33</v>
      </c>
      <c r="E9" t="s">
        <v>673</v>
      </c>
      <c r="F9" s="2" cm="1">
        <f t="array" ref="F9">_xll.FDS(D9,"JULIAN(FMA_DIV_YLD(NTMA,NOW,NOW,M,""PORTAGG"",""MEANR"").dates)")</f>
        <v>45471</v>
      </c>
      <c r="G9" s="4" cm="1">
        <f t="array" ref="G9">_xll.FDS(D9,"FMA_PE(LTM,0,,,""PORTAGG"",""MEANR"")")</f>
        <v>18.287597705529201</v>
      </c>
      <c r="H9" s="4" cm="1">
        <f t="array" ref="H9">_xll.FDS(D9,"FMA_PE(NTMA,0,,,""PORTAGG"",""MEANR"")")</f>
        <v>14.3076503978871</v>
      </c>
      <c r="I9" cm="1">
        <f t="array" ref="I9">_xll.FDS(D9,"FMA_DIV_YLD(NTMA,NOW,NOW,M,""PORTAGG"",""MEANR"")")</f>
        <v>4.1446299936646902</v>
      </c>
      <c r="J9" s="55" cm="1">
        <f t="array" ref="J9">IFERROR(_xll.FDS(D9,"FG_FCF_YIELD_NTM(0)"),(1/G9*100))</f>
        <v>5.8116811061615001</v>
      </c>
      <c r="K9" s="3" cm="1">
        <f t="array" ref="K9">_xll.FDS(D9,"FMA_EVAL_EBITDA(NTMA,0,,,""PORTAGG"",""MEANR"")")</f>
        <v>8.9897624243478198</v>
      </c>
      <c r="L9" cm="1">
        <f t="array" ref="L9">_xll.FDS(D9,"FMA_EVAL_EBIT(LTMA,NOW,NOW,M,""PORTAGG"",""MEANR"")")</f>
        <v>17.301836965641801</v>
      </c>
      <c r="M9">
        <f>HLOOKUP(D9,'Index ROE'!$A$1:$V$25,25,FALSE)</f>
        <v>9.5588573391121106</v>
      </c>
      <c r="N9">
        <f>VLOOKUP(A9,'LIQIDITY 2'!$A$3:$E$26,5,FALSE)</f>
        <v>3.8072539999999999</v>
      </c>
      <c r="O9" cm="1">
        <f t="array" ref="O9">IFERROR(IFERROR(IFERROR(IFERROR(_xll.FDS(B9,"IMF_IFS_RCPI_Q(0)"),_xll.FDS(B9,"IMF_IFS_RCPI_Q(-1AM)")),_xll.FDS(B9,"IMF_IFS_RCPI_Q(-2AM)")),_xll.FDS(B9,"IMF_IFS_RCPI_Q(-3AM)")),$D$31)</f>
        <v>1.6700923000000001</v>
      </c>
      <c r="P9">
        <f>VLOOKUP(E9,GDP_GROWTH!$B$10:$W$165,22,FALSE)</f>
        <v>3.5466921531802975</v>
      </c>
      <c r="Q9">
        <f t="shared" si="0"/>
        <v>0.33737599366469029</v>
      </c>
      <c r="R9" s="55">
        <f t="shared" si="1"/>
        <v>2.0044271061615002</v>
      </c>
      <c r="S9">
        <f t="shared" si="2"/>
        <v>5.7516033391121102</v>
      </c>
      <c r="T9">
        <f t="shared" si="3"/>
        <v>7.8887650391121102</v>
      </c>
      <c r="U9" cm="1">
        <f t="array" ref="U9">_xlfn.PERCENTRANK.EXC(_xlfn._xlws.FILTER(Q$3:Q$23, ISNUMBER(Q$3:Q$23)),Q9)*100</f>
        <v>59</v>
      </c>
      <c r="V9" cm="1">
        <f t="array" ref="V9">_xlfn.PERCENTRANK.EXC(_xlfn._xlws.FILTER(R$3:R$23, ISNUMBER(R$3:R$23)),R9)*100</f>
        <v>54.500000000000007</v>
      </c>
      <c r="W9" cm="1">
        <f t="array" ref="W9">_xlfn.PERCENTRANK.EXC(_xlfn._xlws.FILTER(S$3:S$23, ISNUMBER(S$3:S$23)),S9)*100</f>
        <v>27.200000000000003</v>
      </c>
      <c r="X9" cm="1">
        <f t="array" ref="X9">(1-_xlfn.PERCENTRANK.EXC(_xlfn._xlws.FILTER(G$3:G$23, ISNUMBER(G$3:G$23)),G9))*100</f>
        <v>18.200000000000006</v>
      </c>
      <c r="Y9" cm="1">
        <f t="array" ref="Y9">(1-_xlfn.PERCENTRANK.EXC(_xlfn._xlws.FILTER(H$3:H$23, ISNUMBER(H$3:H$23)),H9))*100</f>
        <v>18.200000000000006</v>
      </c>
      <c r="Z9" cm="1">
        <f t="array" ref="Z9">_xlfn.PERCENTRANK.EXC(_xlfn._xlws.FILTER(T$3:T$23, ISNUMBER(T$3:T$23)),T9)*100</f>
        <v>18.099999999999998</v>
      </c>
      <c r="AA9" cm="1">
        <f t="array" ref="AA9">_xlfn.PERCENTRANK.EXC(_xlfn._xlws.FILTER(P$3:P$23, ISNUMBER(P$3:P$23)),P9)*100</f>
        <v>59</v>
      </c>
      <c r="AB9">
        <f>U9*Assumption!$E$40 + V9*Assumption!$F$40 + X9*Assumption!$G$40 + Y9*Assumption!$H$40 + W9*Assumption!$I$40 +Z9* Assumption!$K$40 + AA9* Assumption!$J$40</f>
        <v>30.205000000000002</v>
      </c>
      <c r="AC9" cm="1">
        <f t="array" ref="AC9">_xlfn.PERCENTRANK.EXC(_xlfn._xlws.FILTER(AB$3:AB$23, ISNUMBER(AB$3:AB$23)),AB9)*100</f>
        <v>13.600000000000001</v>
      </c>
    </row>
    <row r="10" spans="1:29" x14ac:dyDescent="0.35">
      <c r="A10" t="s">
        <v>24</v>
      </c>
      <c r="B10" t="s">
        <v>217</v>
      </c>
      <c r="C10" t="s">
        <v>40</v>
      </c>
      <c r="D10" t="s">
        <v>24</v>
      </c>
      <c r="E10" t="s">
        <v>720</v>
      </c>
      <c r="F10" s="2" cm="1">
        <f t="array" ref="F10">_xll.FDS(D10,"JULIAN(FMA_DIV_YLD(NTMA,NOW,NOW,M,""PORTAGG"",""MEANR"").dates)")</f>
        <v>45471</v>
      </c>
      <c r="G10" s="4" cm="1">
        <f t="array" ref="G10">_xll.FDS(D10,"FMA_PE(LTM,0,,,""PORTAGG"",""MEANR"")")</f>
        <v>23.218688720091201</v>
      </c>
      <c r="H10" s="4" cm="1">
        <f t="array" ref="H10">_xll.FDS(D10,"FMA_PE(NTMA,0,,,""PORTAGG"",""MEANR"")")</f>
        <v>18.248652021321099</v>
      </c>
      <c r="I10" cm="1">
        <f t="array" ref="I10">_xll.FDS(D10,"FMA_DIV_YLD(NTMA,NOW,NOW,M,""PORTAGG"",""MEANR"")")</f>
        <v>2.9759201638879</v>
      </c>
      <c r="J10" s="55" cm="1">
        <f t="array" ref="J10">IFERROR(_xll.FDS(D10,"FG_FCF_YIELD_NTM(0)"),(1/G10*100))</f>
        <v>3.80556080337323</v>
      </c>
      <c r="K10" s="3" cm="1">
        <f t="array" ref="K10">_xll.FDS(D10,"FMA_EVAL_EBITDA(NTMA,0,,,""PORTAGG"",""MEANR"")")</f>
        <v>10.716584528358</v>
      </c>
      <c r="L10" cm="1">
        <f t="array" ref="L10">_xll.FDS(D10,"FMA_EVAL_EBIT(LTMA,NOW,NOW,M,""PORTAGG"",""MEANR"")")</f>
        <v>20.284762147812199</v>
      </c>
      <c r="M10">
        <f>HLOOKUP(D10,'Index ROE'!$A$1:$V$25,25,FALSE)</f>
        <v>11.9186960978366</v>
      </c>
      <c r="N10">
        <f>VLOOKUP(A10,'LIQIDITY 2'!$A$3:$E$26,5,FALSE)</f>
        <v>1.66</v>
      </c>
      <c r="O10" cm="1">
        <f t="array" ref="O10">IFERROR(IFERROR(IFERROR(IFERROR(_xll.FDS(B10,"IMF_IFS_RCPI_Q(0)"),_xll.FDS(B10,"IMF_IFS_RCPI_Q(-1AM)")),_xll.FDS(B10,"IMF_IFS_RCPI_Q(-2AM)")),_xll.FDS(B10,"IMF_IFS_RCPI_Q(-3AM)")),$D$31)</f>
        <v>3.2410160000000001</v>
      </c>
      <c r="P10">
        <f>VLOOKUP(E10,GDP_GROWTH!$B$10:$W$165,22,FALSE)</f>
        <v>3.5195870793715778</v>
      </c>
      <c r="Q10">
        <f t="shared" si="0"/>
        <v>1.3159201638879001</v>
      </c>
      <c r="R10" s="55">
        <f t="shared" si="1"/>
        <v>2.1455608033732299</v>
      </c>
      <c r="S10">
        <f t="shared" si="2"/>
        <v>10.2586960978366</v>
      </c>
      <c r="T10">
        <f t="shared" si="3"/>
        <v>8.6776800978365998</v>
      </c>
      <c r="U10" cm="1">
        <f t="array" ref="U10">_xlfn.PERCENTRANK.EXC(_xlfn._xlws.FILTER(Q$3:Q$23, ISNUMBER(Q$3:Q$23)),Q10)*100</f>
        <v>77.2</v>
      </c>
      <c r="V10" cm="1">
        <f t="array" ref="V10">_xlfn.PERCENTRANK.EXC(_xlfn._xlws.FILTER(R$3:R$23, ISNUMBER(R$3:R$23)),R10)*100</f>
        <v>59</v>
      </c>
      <c r="W10" cm="1">
        <f t="array" ref="W10">_xlfn.PERCENTRANK.EXC(_xlfn._xlws.FILTER(S$3:S$23, ISNUMBER(S$3:S$23)),S10)*100</f>
        <v>90.9</v>
      </c>
      <c r="X10" cm="1">
        <f t="array" ref="X10">(1-_xlfn.PERCENTRANK.EXC(_xlfn._xlws.FILTER(G$3:G$23, ISNUMBER(G$3:G$23)),G10))*100</f>
        <v>9.0999999999999979</v>
      </c>
      <c r="Y10" cm="1">
        <f t="array" ref="Y10">(1-_xlfn.PERCENTRANK.EXC(_xlfn._xlws.FILTER(H$3:H$23, ISNUMBER(H$3:H$23)),H10))*100</f>
        <v>9.0999999999999979</v>
      </c>
      <c r="Z10" cm="1">
        <f t="array" ref="Z10">_xlfn.PERCENTRANK.EXC(_xlfn._xlws.FILTER(T$3:T$23, ISNUMBER(T$3:T$23)),T10)*100</f>
        <v>27.200000000000003</v>
      </c>
      <c r="AA10" cm="1">
        <f t="array" ref="AA10">_xlfn.PERCENTRANK.EXC(_xlfn._xlws.FILTER(P$3:P$23, ISNUMBER(P$3:P$23)),P10)*100</f>
        <v>54.500000000000007</v>
      </c>
      <c r="AB10">
        <f>U10*Assumption!$E$40 + V10*Assumption!$F$40 + X10*Assumption!$G$40 + Y10*Assumption!$H$40 + W10*Assumption!$I$40 +Z10* Assumption!$K$40 + AA10* Assumption!$J$40</f>
        <v>34.97</v>
      </c>
      <c r="AC10" cm="1">
        <f t="array" ref="AC10">_xlfn.PERCENTRANK.EXC(_xlfn._xlws.FILTER(AB$3:AB$23, ISNUMBER(AB$3:AB$23)),AB10)*100</f>
        <v>27.200000000000003</v>
      </c>
    </row>
    <row r="11" spans="1:29" x14ac:dyDescent="0.35">
      <c r="A11" t="s">
        <v>7</v>
      </c>
      <c r="B11" t="s">
        <v>301</v>
      </c>
      <c r="C11" t="s">
        <v>53</v>
      </c>
      <c r="D11" t="s">
        <v>7</v>
      </c>
      <c r="E11" t="s">
        <v>678</v>
      </c>
      <c r="F11" s="2" cm="1">
        <f t="array" ref="F11">_xll.FDS(D11,"JULIAN(FMA_DIV_YLD(NTMA,NOW,NOW,M,""PORTAGG"",""MEANR"").dates)")</f>
        <v>45471</v>
      </c>
      <c r="G11" s="4" cm="1">
        <f t="array" ref="G11">_xll.FDS(D11,"FMA_PE(LTM,0,,,""PORTAGG"",""MEANR"")")</f>
        <v>14.238871727410899</v>
      </c>
      <c r="H11" s="4" cm="1">
        <f t="array" ref="H11">_xll.FDS(D11,"FMA_PE(NTMA,0,,,""PORTAGG"",""MEANR"")")</f>
        <v>11.481790582139899</v>
      </c>
      <c r="I11" cm="1">
        <f t="array" ref="I11">_xll.FDS(D11,"FMA_DIV_YLD(NTMA,NOW,NOW,M,""PORTAGG"",""MEANR"")")</f>
        <v>4.5773769298328197</v>
      </c>
      <c r="J11" s="55" cm="1">
        <f t="array" ref="J11">IFERROR(_xll.FDS(D11,"FG_FCF_YIELD_NTM(0)"),(1/G11*100))</f>
        <v>8.9735775651882292</v>
      </c>
      <c r="K11" s="3" cm="1">
        <f t="array" ref="K11">_xll.FDS(D11,"FMA_EVAL_EBITDA(NTMA,0,,,""PORTAGG"",""MEANR"")")</f>
        <v>5.96079284444611</v>
      </c>
      <c r="L11" cm="1">
        <f t="array" ref="L11">_xll.FDS(D11,"FMA_EVAL_EBIT(LTMA,NOW,NOW,M,""PORTAGG"",""MEANR"")")</f>
        <v>10.2088243495916</v>
      </c>
      <c r="M11">
        <f>HLOOKUP(D11,'Index ROE'!$A$1:$V$25,25,FALSE)</f>
        <v>13.7129718327555</v>
      </c>
      <c r="N11">
        <f>VLOOKUP(A11,'LIQIDITY 2'!$A$3:$E$26,5,FALSE)</f>
        <v>9.9659999999999993</v>
      </c>
      <c r="O11" cm="1">
        <f t="array" ref="O11">IFERROR(IFERROR(IFERROR(IFERROR(_xll.FDS(B11,"IMF_IFS_RCPI_Q(0)"),_xll.FDS(B11,"IMF_IFS_RCPI_Q(-1AM)")),_xll.FDS(B11,"IMF_IFS_RCPI_Q(-2AM)")),_xll.FDS(B11,"IMF_IFS_RCPI_Q(-3AM)")),$D$31)</f>
        <v>4.5678280000000004</v>
      </c>
      <c r="P11">
        <f>VLOOKUP(E11,GDP_GROWTH!$B$10:$W$165,22,FALSE)</f>
        <v>0.75528355941661962</v>
      </c>
      <c r="Q11">
        <f t="shared" si="0"/>
        <v>-5.3886230701671796</v>
      </c>
      <c r="R11" s="55">
        <f t="shared" si="1"/>
        <v>-0.99242243481177006</v>
      </c>
      <c r="S11">
        <f t="shared" si="2"/>
        <v>3.7469718327555004</v>
      </c>
      <c r="T11">
        <f t="shared" si="3"/>
        <v>9.1451438327554992</v>
      </c>
      <c r="U11" cm="1">
        <f t="array" ref="U11">_xlfn.PERCENTRANK.EXC(_xlfn._xlws.FILTER(Q$3:Q$23, ISNUMBER(Q$3:Q$23)),Q11)*100</f>
        <v>18.099999999999998</v>
      </c>
      <c r="V11" cm="1">
        <f t="array" ref="V11">_xlfn.PERCENTRANK.EXC(_xlfn._xlws.FILTER(R$3:R$23, ISNUMBER(R$3:R$23)),R11)*100</f>
        <v>22.7</v>
      </c>
      <c r="W11" cm="1">
        <f t="array" ref="W11">_xlfn.PERCENTRANK.EXC(_xlfn._xlws.FILTER(S$3:S$23, ISNUMBER(S$3:S$23)),S11)*100</f>
        <v>13.600000000000001</v>
      </c>
      <c r="X11" cm="1">
        <f t="array" ref="X11">(1-_xlfn.PERCENTRANK.EXC(_xlfn._xlws.FILTER(G$3:G$23, ISNUMBER(G$3:G$23)),G11))*100</f>
        <v>45.499999999999993</v>
      </c>
      <c r="Y11" cm="1">
        <f t="array" ref="Y11">(1-_xlfn.PERCENTRANK.EXC(_xlfn._xlws.FILTER(H$3:H$23, ISNUMBER(H$3:H$23)),H11))*100</f>
        <v>45.499999999999993</v>
      </c>
      <c r="Z11" cm="1">
        <f t="array" ref="Z11">_xlfn.PERCENTRANK.EXC(_xlfn._xlws.FILTER(T$3:T$23, ISNUMBER(T$3:T$23)),T11)*100</f>
        <v>36.299999999999997</v>
      </c>
      <c r="AA11" cm="1">
        <f t="array" ref="AA11">_xlfn.PERCENTRANK.EXC(_xlfn._xlws.FILTER(P$3:P$23, ISNUMBER(P$3:P$23)),P11)*100</f>
        <v>4.5</v>
      </c>
      <c r="AB11">
        <f>U11*Assumption!$E$40 + V11*Assumption!$F$40 + X11*Assumption!$G$40 + Y11*Assumption!$H$40 + W11*Assumption!$I$40 +Z11* Assumption!$K$40 + AA11* Assumption!$J$40</f>
        <v>34.32</v>
      </c>
      <c r="AC11" cm="1">
        <f t="array" ref="AC11">_xlfn.PERCENTRANK.EXC(_xlfn._xlws.FILTER(AB$3:AB$23, ISNUMBER(AB$3:AB$23)),AB11)*100</f>
        <v>22.7</v>
      </c>
    </row>
    <row r="12" spans="1:29" x14ac:dyDescent="0.35">
      <c r="A12" t="s">
        <v>21</v>
      </c>
      <c r="B12" t="s">
        <v>210</v>
      </c>
      <c r="C12" t="s">
        <v>38</v>
      </c>
      <c r="D12" t="s">
        <v>21</v>
      </c>
      <c r="E12" t="s">
        <v>660</v>
      </c>
      <c r="F12" s="2" cm="1">
        <f t="array" ref="F12">_xll.FDS(D12,"JULIAN(FMA_DIV_YLD(NTMA,NOW,NOW,M,""PORTAGG"",""MEANR"").dates)")</f>
        <v>45471</v>
      </c>
      <c r="G12" s="4" cm="1">
        <f t="array" ref="G12">_xll.FDS(D12,"FMA_PE(LTM,0,,,""PORTAGG"",""MEANR"")")</f>
        <v>17.915491996742599</v>
      </c>
      <c r="H12" s="4" cm="1">
        <f t="array" ref="H12">_xll.FDS(D12,"FMA_PE(NTMA,0,,,""PORTAGG"",""MEANR"")")</f>
        <v>9.5626807818099007</v>
      </c>
      <c r="I12" cm="1">
        <f t="array" ref="I12">_xll.FDS(D12,"FMA_DIV_YLD(NTMA,NOW,NOW,M,""PORTAGG"",""MEANR"")")</f>
        <v>2.0732090998045098</v>
      </c>
      <c r="J12" s="55" cm="1">
        <f t="array" ref="J12">IFERROR(_xll.FDS(D12,"FG_FCF_YIELD_NTM(0)"),(1/G12*100))</f>
        <v>5.5927479359594301</v>
      </c>
      <c r="K12" s="3" cm="1">
        <f t="array" ref="K12">_xll.FDS(D12,"FMA_EVAL_EBITDA(NTMA,0,,,""PORTAGG"",""MEANR"")")</f>
        <v>6.2017943627230503</v>
      </c>
      <c r="L12" cm="1">
        <f t="array" ref="L12">_xll.FDS(D12,"FMA_EVAL_EBIT(LTMA,NOW,NOW,M,""PORTAGG"",""MEANR"")")</f>
        <v>17.511625774888099</v>
      </c>
      <c r="M12">
        <f>HLOOKUP(D12,'Index ROE'!$A$1:$V$25,25,FALSE)</f>
        <v>8.8929228450710909</v>
      </c>
      <c r="N12">
        <f>VLOOKUP(A12,'LIQIDITY 2'!$A$3:$E$26,5,FALSE)</f>
        <v>3.1522999999999999</v>
      </c>
      <c r="O12" cm="1">
        <f t="array" ref="O12">IFERROR(IFERROR(IFERROR(IFERROR(_xll.FDS(B12,"IMF_IFS_RCPI_Q(0)"),_xll.FDS(B12,"IMF_IFS_RCPI_Q(-1AM)")),_xll.FDS(B12,"IMF_IFS_RCPI_Q(-2AM)")),_xll.FDS(B12,"IMF_IFS_RCPI_Q(-3AM)")),$D$31)</f>
        <v>2.6691832999999998</v>
      </c>
      <c r="P12">
        <f>VLOOKUP(E12,GDP_GROWTH!$B$10:$W$165,22,FALSE)</f>
        <v>2.41003689527024</v>
      </c>
      <c r="Q12">
        <f t="shared" si="0"/>
        <v>-1.07909090019549</v>
      </c>
      <c r="R12" s="55">
        <f t="shared" si="1"/>
        <v>2.4404479359594302</v>
      </c>
      <c r="S12">
        <f t="shared" si="2"/>
        <v>5.7406228450710906</v>
      </c>
      <c r="T12">
        <f t="shared" si="3"/>
        <v>6.2237395450710906</v>
      </c>
      <c r="U12" cm="1">
        <f t="array" ref="U12">_xlfn.PERCENTRANK.EXC(_xlfn._xlws.FILTER(Q$3:Q$23, ISNUMBER(Q$3:Q$23)),Q12)*100</f>
        <v>45.4</v>
      </c>
      <c r="V12" cm="1">
        <f t="array" ref="V12">_xlfn.PERCENTRANK.EXC(_xlfn._xlws.FILTER(R$3:R$23, ISNUMBER(R$3:R$23)),R12)*100</f>
        <v>63.6</v>
      </c>
      <c r="W12" cm="1">
        <f t="array" ref="W12">_xlfn.PERCENTRANK.EXC(_xlfn._xlws.FILTER(S$3:S$23, ISNUMBER(S$3:S$23)),S12)*100</f>
        <v>22.7</v>
      </c>
      <c r="X12" cm="1">
        <f t="array" ref="X12">(1-_xlfn.PERCENTRANK.EXC(_xlfn._xlws.FILTER(G$3:G$23, ISNUMBER(G$3:G$23)),G12))*100</f>
        <v>22.799999999999997</v>
      </c>
      <c r="Y12" cm="1">
        <f t="array" ref="Y12">(1-_xlfn.PERCENTRANK.EXC(_xlfn._xlws.FILTER(H$3:H$23, ISNUMBER(H$3:H$23)),H12))*100</f>
        <v>59.099999999999994</v>
      </c>
      <c r="Z12" cm="1">
        <f t="array" ref="Z12">_xlfn.PERCENTRANK.EXC(_xlfn._xlws.FILTER(T$3:T$23, ISNUMBER(T$3:T$23)),T12)*100</f>
        <v>9</v>
      </c>
      <c r="AA12" cm="1">
        <f t="array" ref="AA12">_xlfn.PERCENTRANK.EXC(_xlfn._xlws.FILTER(P$3:P$23, ISNUMBER(P$3:P$23)),P12)*100</f>
        <v>40.9</v>
      </c>
      <c r="AB12">
        <f>U12*Assumption!$E$40 + V12*Assumption!$F$40 + X12*Assumption!$G$40 + Y12*Assumption!$H$40 + W12*Assumption!$I$40 +Z12* Assumption!$K$40 + AA12* Assumption!$J$40</f>
        <v>41.814999999999998</v>
      </c>
      <c r="AC12" cm="1">
        <f t="array" ref="AC12">_xlfn.PERCENTRANK.EXC(_xlfn._xlws.FILTER(AB$3:AB$23, ISNUMBER(AB$3:AB$23)),AB12)*100</f>
        <v>45.4</v>
      </c>
    </row>
    <row r="13" spans="1:29" x14ac:dyDescent="0.35">
      <c r="A13" t="s">
        <v>12</v>
      </c>
      <c r="B13" t="s">
        <v>291</v>
      </c>
      <c r="C13" t="s">
        <v>54</v>
      </c>
      <c r="D13" t="s">
        <v>12</v>
      </c>
      <c r="E13" t="s">
        <v>603</v>
      </c>
      <c r="F13" s="2" cm="1">
        <f t="array" ref="F13">_xll.FDS(D13,"JULIAN(FMA_DIV_YLD(NTMA,NOW,NOW,M,""PORTAGG"",""MEANR"").dates)")</f>
        <v>45471</v>
      </c>
      <c r="G13" s="4" cm="1">
        <f t="array" ref="G13">_xll.FDS(D13,"FMA_PE(LTM,0,,,""PORTAGG"",""MEANR"")")</f>
        <v>7.3540223029576497</v>
      </c>
      <c r="H13" s="4" cm="1">
        <f t="array" ref="H13">_xll.FDS(D13,"FMA_PE(NTMA,0,,,""PORTAGG"",""MEANR"")")</f>
        <v>7.3603301184927297</v>
      </c>
      <c r="I13" cm="1">
        <f t="array" ref="I13">_xll.FDS(D13,"FMA_DIV_YLD(NTMA,NOW,NOW,M,""PORTAGG"",""MEANR"")")</f>
        <v>7.0276902712850902</v>
      </c>
      <c r="J13" s="55" cm="1">
        <f t="array" ref="J13">IFERROR(_xll.FDS(D13,"FG_FCF_YIELD_NTM(0)"),(1/G13*100))</f>
        <v>10.690472858636401</v>
      </c>
      <c r="K13" s="3" cm="1">
        <f t="array" ref="K13">_xll.FDS(D13,"FMA_EVAL_EBITDA(NTMA,0,,,""PORTAGG"",""MEANR"")")</f>
        <v>4.6067417549887697</v>
      </c>
      <c r="L13" cm="1">
        <f t="array" ref="L13">_xll.FDS(D13,"FMA_EVAL_EBIT(LTMA,NOW,NOW,M,""PORTAGG"",""MEANR"")")</f>
        <v>6.6681695809808703</v>
      </c>
      <c r="M13">
        <f>HLOOKUP(D13,'Index ROE'!$A$1:$V$25,25,FALSE)</f>
        <v>18.6086841620772</v>
      </c>
      <c r="N13">
        <f>VLOOKUP(A13,'LIQIDITY 2'!$A$3:$E$26,5,FALSE)</f>
        <v>12.276152</v>
      </c>
      <c r="O13" cm="1">
        <f t="array" ref="O13">IFERROR(IFERROR(IFERROR(IFERROR(_xll.FDS(B13,"IMF_IFS_RCPI_Q(0)"),_xll.FDS(B13,"IMF_IFS_RCPI_Q(-1AM)")),_xll.FDS(B13,"IMF_IFS_RCPI_Q(-2AM)")),_xll.FDS(B13,"IMF_IFS_RCPI_Q(-3AM)")),$D$31)</f>
        <v>4.3081307000000004</v>
      </c>
      <c r="P13">
        <f>VLOOKUP(E13,GDP_GROWTH!$B$10:$W$165,22,FALSE)</f>
        <v>0.86151944639016875</v>
      </c>
      <c r="Q13">
        <f t="shared" si="0"/>
        <v>-5.2484617287149096</v>
      </c>
      <c r="R13" s="55">
        <f t="shared" si="1"/>
        <v>-1.5856791413635989</v>
      </c>
      <c r="S13">
        <f t="shared" si="2"/>
        <v>6.3325321620772002</v>
      </c>
      <c r="T13">
        <f t="shared" si="3"/>
        <v>14.3005534620772</v>
      </c>
      <c r="U13" cm="1">
        <f t="array" ref="U13">_xlfn.PERCENTRANK.EXC(_xlfn._xlws.FILTER(Q$3:Q$23, ISNUMBER(Q$3:Q$23)),Q13)*100</f>
        <v>22.7</v>
      </c>
      <c r="V13" cm="1">
        <f t="array" ref="V13">_xlfn.PERCENTRANK.EXC(_xlfn._xlws.FILTER(R$3:R$23, ISNUMBER(R$3:R$23)),R13)*100</f>
        <v>18.099999999999998</v>
      </c>
      <c r="W13" cm="1">
        <f t="array" ref="W13">_xlfn.PERCENTRANK.EXC(_xlfn._xlws.FILTER(S$3:S$23, ISNUMBER(S$3:S$23)),S13)*100</f>
        <v>36.299999999999997</v>
      </c>
      <c r="X13" cm="1">
        <f t="array" ref="X13">(1-_xlfn.PERCENTRANK.EXC(_xlfn._xlws.FILTER(G$3:G$23, ISNUMBER(G$3:G$23)),G13))*100</f>
        <v>95.5</v>
      </c>
      <c r="Y13" cm="1">
        <f t="array" ref="Y13">(1-_xlfn.PERCENTRANK.EXC(_xlfn._xlws.FILTER(H$3:H$23, ISNUMBER(H$3:H$23)),H13))*100</f>
        <v>86.4</v>
      </c>
      <c r="Z13" cm="1">
        <f t="array" ref="Z13">_xlfn.PERCENTRANK.EXC(_xlfn._xlws.FILTER(T$3:T$23, ISNUMBER(T$3:T$23)),T13)*100</f>
        <v>95.399999999999991</v>
      </c>
      <c r="AA13" cm="1">
        <f t="array" ref="AA13">_xlfn.PERCENTRANK.EXC(_xlfn._xlws.FILTER(P$3:P$23, ISNUMBER(P$3:P$23)),P13)*100</f>
        <v>13.600000000000001</v>
      </c>
      <c r="AB13">
        <f>U13*Assumption!$E$40 + V13*Assumption!$F$40 + X13*Assumption!$G$40 + Y13*Assumption!$H$40 + W13*Assumption!$I$40 +Z13* Assumption!$K$40 + AA13* Assumption!$J$40</f>
        <v>64.305000000000007</v>
      </c>
      <c r="AC13" cm="1">
        <f t="array" ref="AC13">_xlfn.PERCENTRANK.EXC(_xlfn._xlws.FILTER(AB$3:AB$23, ISNUMBER(AB$3:AB$23)),AB13)*100</f>
        <v>72.7</v>
      </c>
    </row>
    <row r="14" spans="1:29" x14ac:dyDescent="0.35">
      <c r="A14" t="s">
        <v>22</v>
      </c>
      <c r="B14" t="s">
        <v>366</v>
      </c>
      <c r="C14" t="s">
        <v>442</v>
      </c>
      <c r="D14" t="s">
        <v>22</v>
      </c>
      <c r="E14" t="s">
        <v>713</v>
      </c>
      <c r="F14" s="2" cm="1">
        <f t="array" ref="F14">_xll.FDS(D14,"JULIAN(FMA_DIV_YLD(NTMA,NOW,NOW,M,""PORTAGG"",""MEANR"").dates)")</f>
        <v>45471</v>
      </c>
      <c r="G14" s="4" cm="1">
        <f t="array" ref="G14">_xll.FDS(D14,"FMA_PE(LTM,0,,,""PORTAGG"",""MEANR"")")</f>
        <v>12.523801528531401</v>
      </c>
      <c r="H14" s="4" cm="1">
        <f t="array" ref="H14">_xll.FDS(D14,"FMA_PE(NTMA,0,,,""PORTAGG"",""MEANR"")")</f>
        <v>9.8134146885948805</v>
      </c>
      <c r="I14" cm="1">
        <f t="array" ref="I14">_xll.FDS(D14,"FMA_DIV_YLD(NTMA,NOW,NOW,M,""PORTAGG"",""MEANR"")")</f>
        <v>4.0222458560688104</v>
      </c>
      <c r="J14" s="55" cm="1">
        <f t="array" ref="J14">IFERROR(_xll.FDS(D14,"FG_FCF_YIELD_NTM(0)"),(1/G14*100))</f>
        <v>8.3827491513686905</v>
      </c>
      <c r="K14" s="3" cm="1">
        <f t="array" ref="K14">_xll.FDS(D14,"FMA_EVAL_EBITDA(NTMA,0,,,""PORTAGG"",""MEANR"")")</f>
        <v>7.4848489893941199</v>
      </c>
      <c r="L14" cm="1">
        <f t="array" ref="L14">_xll.FDS(D14,"FMA_EVAL_EBIT(LTMA,NOW,NOW,M,""PORTAGG"",""MEANR"")")</f>
        <v>12.1460392320385</v>
      </c>
      <c r="M14">
        <f>HLOOKUP(D14,'Index ROE'!$A$1:$V$25,25,FALSE)</f>
        <v>14.5722752976358</v>
      </c>
      <c r="N14">
        <f>VLOOKUP(A14,'LIQIDITY 2'!$A$3:$E$26,5,FALSE)</f>
        <v>11.040422</v>
      </c>
      <c r="O14" cm="1">
        <f t="array" ref="O14">IFERROR(IFERROR(IFERROR(IFERROR(_xll.FDS(B14,"IMF_IFS_RCPI_Q(0)"),_xll.FDS(B14,"IMF_IFS_RCPI_Q(-1AM)")),_xll.FDS(B14,"IMF_IFS_RCPI_Q(-2AM)")),_xll.FDS(B14,"IMF_IFS_RCPI_Q(-3AM)")),$D$31)</f>
        <v>5.4170474999999998</v>
      </c>
      <c r="P14">
        <f>VLOOKUP(E14,GDP_GROWTH!$B$10:$W$165,22,FALSE)</f>
        <v>2.0053433544621524</v>
      </c>
      <c r="Q14">
        <f t="shared" si="0"/>
        <v>-7.0181761439311892</v>
      </c>
      <c r="R14" s="55">
        <f t="shared" si="1"/>
        <v>-2.657672848631309</v>
      </c>
      <c r="S14">
        <f t="shared" si="2"/>
        <v>3.5318532976358004</v>
      </c>
      <c r="T14">
        <f t="shared" si="3"/>
        <v>9.1552277976357992</v>
      </c>
      <c r="U14" cm="1">
        <f t="array" ref="U14">_xlfn.PERCENTRANK.EXC(_xlfn._xlws.FILTER(Q$3:Q$23, ISNUMBER(Q$3:Q$23)),Q14)*100</f>
        <v>9</v>
      </c>
      <c r="V14" cm="1">
        <f t="array" ref="V14">_xlfn.PERCENTRANK.EXC(_xlfn._xlws.FILTER(R$3:R$23, ISNUMBER(R$3:R$23)),R14)*100</f>
        <v>13.600000000000001</v>
      </c>
      <c r="W14" cm="1">
        <f t="array" ref="W14">_xlfn.PERCENTRANK.EXC(_xlfn._xlws.FILTER(S$3:S$23, ISNUMBER(S$3:S$23)),S14)*100</f>
        <v>9</v>
      </c>
      <c r="X14" cm="1">
        <f t="array" ref="X14">(1-_xlfn.PERCENTRANK.EXC(_xlfn._xlws.FILTER(G$3:G$23, ISNUMBER(G$3:G$23)),G14))*100</f>
        <v>63.7</v>
      </c>
      <c r="Y14" cm="1">
        <f t="array" ref="Y14">(1-_xlfn.PERCENTRANK.EXC(_xlfn._xlws.FILTER(H$3:H$23, ISNUMBER(H$3:H$23)),H14))*100</f>
        <v>54.6</v>
      </c>
      <c r="Z14" cm="1">
        <f t="array" ref="Z14">_xlfn.PERCENTRANK.EXC(_xlfn._xlws.FILTER(T$3:T$23, ISNUMBER(T$3:T$23)),T14)*100</f>
        <v>40.9</v>
      </c>
      <c r="AA14" cm="1">
        <f t="array" ref="AA14">_xlfn.PERCENTRANK.EXC(_xlfn._xlws.FILTER(P$3:P$23, ISNUMBER(P$3:P$23)),P14)*100</f>
        <v>27.200000000000003</v>
      </c>
      <c r="AB14">
        <f>U14*Assumption!$E$40 + V14*Assumption!$F$40 + X14*Assumption!$G$40 + Y14*Assumption!$H$40 + W14*Assumption!$I$40 +Z14* Assumption!$K$40 + AA14* Assumption!$J$40</f>
        <v>38.415000000000006</v>
      </c>
      <c r="AC14" cm="1">
        <f t="array" ref="AC14">_xlfn.PERCENTRANK.EXC(_xlfn._xlws.FILTER(AB$3:AB$23, ISNUMBER(AB$3:AB$23)),AB14)*100</f>
        <v>31.8</v>
      </c>
    </row>
    <row r="15" spans="1:29" x14ac:dyDescent="0.35">
      <c r="A15" t="s">
        <v>28</v>
      </c>
      <c r="B15" t="s">
        <v>498</v>
      </c>
      <c r="C15" t="s">
        <v>443</v>
      </c>
      <c r="D15" t="s">
        <v>28</v>
      </c>
      <c r="E15" t="s">
        <v>640</v>
      </c>
      <c r="F15" s="2" cm="1">
        <f t="array" ref="F15">_xll.FDS(D15,"JULIAN(FMA_DIV_YLD(NTMA,NOW,NOW,M,""PORTAGG"",""MEANR"").dates)")</f>
        <v>45471</v>
      </c>
      <c r="G15" s="4" cm="1">
        <f t="array" ref="G15">_xll.FDS(D15,"FMA_PE(LTM,0,,,""PORTAGG"",""MEANR"")")</f>
        <v>7.7488847319285199</v>
      </c>
      <c r="H15" s="4" cm="1">
        <f t="array" ref="H15">_xll.FDS(D15,"FMA_PE(NTMA,0,,,""PORTAGG"",""MEANR"")")</f>
        <v>7.1803885922018003</v>
      </c>
      <c r="I15" cm="1">
        <f t="array" ref="I15">_xll.FDS(D15,"FMA_DIV_YLD(NTMA,NOW,NOW,M,""PORTAGG"",""MEANR"")")</f>
        <v>6.1340327379895898</v>
      </c>
      <c r="J15" s="55" cm="1">
        <f t="array" ref="J15">IFERROR(_xll.FDS(D15,"FG_FCF_YIELD_NTM(0)"),(1/G15*100))</f>
        <v>12.905082919605166</v>
      </c>
      <c r="K15" s="3" cm="1">
        <f t="array" ref="K15">_xll.FDS(D15,"FMA_EVAL_EBITDA(NTMA,0,,,""PORTAGG"",""MEANR"")")</f>
        <v>5.7743902628812602</v>
      </c>
      <c r="L15" cm="1">
        <f t="array" ref="L15">_xll.FDS(D15,"FMA_EVAL_EBIT(LTMA,NOW,NOW,M,""PORTAGG"",""MEANR"")")</f>
        <v>7.79566299774807</v>
      </c>
      <c r="M15">
        <f>HLOOKUP(D15,'Index ROE'!$A$1:$V$25,25,FALSE)</f>
        <v>13.1253657894167</v>
      </c>
      <c r="N15">
        <f>VLOOKUP(A15,'LIQIDITY 2'!$A$3:$E$26,5,FALSE)</f>
        <v>3.4289999999999998</v>
      </c>
      <c r="O15" cm="1">
        <f t="array" ref="O15">IFERROR(IFERROR(IFERROR(IFERROR(_xll.FDS(B15,"IMF_IFS_RCPI_Q(0)"),_xll.FDS(B15,"IMF_IFS_RCPI_Q(-1AM)")),_xll.FDS(B15,"IMF_IFS_RCPI_Q(-2AM)")),_xll.FDS(B15,"IMF_IFS_RCPI_Q(-3AM)")),$D$31)</f>
        <v>2.5719759999999998</v>
      </c>
      <c r="P15">
        <f>VLOOKUP(E15,GDP_GROWTH!$B$10:$W$165,22,FALSE)</f>
        <v>0.85736345187500396</v>
      </c>
      <c r="Q15">
        <f t="shared" si="0"/>
        <v>2.70503273798959</v>
      </c>
      <c r="R15" s="55">
        <f t="shared" si="1"/>
        <v>9.4760829196051652</v>
      </c>
      <c r="S15">
        <f t="shared" si="2"/>
        <v>9.6963657894166992</v>
      </c>
      <c r="T15">
        <f t="shared" si="3"/>
        <v>10.5533897894167</v>
      </c>
      <c r="U15" cm="1">
        <f t="array" ref="U15">_xlfn.PERCENTRANK.EXC(_xlfn._xlws.FILTER(Q$3:Q$23, ISNUMBER(Q$3:Q$23)),Q15)*100</f>
        <v>95.399999999999991</v>
      </c>
      <c r="V15" cm="1">
        <f t="array" ref="V15">_xlfn.PERCENTRANK.EXC(_xlfn._xlws.FILTER(R$3:R$23, ISNUMBER(R$3:R$23)),R15)*100</f>
        <v>95.399999999999991</v>
      </c>
      <c r="W15" cm="1">
        <f t="array" ref="W15">_xlfn.PERCENTRANK.EXC(_xlfn._xlws.FILTER(S$3:S$23, ISNUMBER(S$3:S$23)),S15)*100</f>
        <v>81.8</v>
      </c>
      <c r="X15" cm="1">
        <f t="array" ref="X15">(1-_xlfn.PERCENTRANK.EXC(_xlfn._xlws.FILTER(G$3:G$23, ISNUMBER(G$3:G$23)),G15))*100</f>
        <v>91</v>
      </c>
      <c r="Y15" cm="1">
        <f t="array" ref="Y15">(1-_xlfn.PERCENTRANK.EXC(_xlfn._xlws.FILTER(H$3:H$23, ISNUMBER(H$3:H$23)),H15))*100</f>
        <v>91</v>
      </c>
      <c r="Z15" cm="1">
        <f t="array" ref="Z15">_xlfn.PERCENTRANK.EXC(_xlfn._xlws.FILTER(T$3:T$23, ISNUMBER(T$3:T$23)),T15)*100</f>
        <v>72.7</v>
      </c>
      <c r="AA15" cm="1">
        <f t="array" ref="AA15">_xlfn.PERCENTRANK.EXC(_xlfn._xlws.FILTER(P$3:P$23, ISNUMBER(P$3:P$23)),P15)*100</f>
        <v>9</v>
      </c>
      <c r="AB15">
        <f>U15*Assumption!$E$40 + V15*Assumption!$F$40 + X15*Assumption!$G$40 + Y15*Assumption!$H$40 + W15*Assumption!$I$40 +Z15* Assumption!$K$40 + AA15* Assumption!$J$40</f>
        <v>89.570000000000007</v>
      </c>
      <c r="AC15" cm="1">
        <f t="array" ref="AC15">_xlfn.PERCENTRANK.EXC(_xlfn._xlws.FILTER(AB$3:AB$23, ISNUMBER(AB$3:AB$23)),AB15)*100</f>
        <v>95.399999999999991</v>
      </c>
    </row>
    <row r="16" spans="1:29" x14ac:dyDescent="0.35">
      <c r="A16" t="s">
        <v>32</v>
      </c>
      <c r="B16" t="s">
        <v>184</v>
      </c>
      <c r="C16" t="s">
        <v>52</v>
      </c>
      <c r="D16" t="s">
        <v>32</v>
      </c>
      <c r="E16" t="s">
        <v>650</v>
      </c>
      <c r="F16" s="2" cm="1">
        <f t="array" ref="F16">_xll.FDS(D16,"JULIAN(FMA_DIV_YLD(NTMA,NOW,NOW,M,""PORTAGG"",""MEANR"").dates)")</f>
        <v>45471</v>
      </c>
      <c r="G16" s="4" cm="1">
        <f t="array" ref="G16">_xll.FDS(D16,"FMA_PE(LTM,0,,,""PORTAGG"",""MEANR"")")</f>
        <v>28.076650415509</v>
      </c>
      <c r="H16" s="4" cm="1">
        <f t="array" ref="H16">_xll.FDS(D16,"FMA_PE(NTMA,0,,,""PORTAGG"",""MEANR"")")</f>
        <v>24.190958160182301</v>
      </c>
      <c r="I16" cm="1">
        <f t="array" ref="I16">_xll.FDS(D16,"FMA_DIV_YLD(NTMA,NOW,NOW,M,""PORTAGG"",""MEANR"")")</f>
        <v>1.2700711434187499</v>
      </c>
      <c r="J16" s="55" cm="1">
        <f t="array" ref="J16">IFERROR(_xll.FDS(D16,"FG_FCF_YIELD_NTM(0)"),(1/G16*100))</f>
        <v>2.69071275109166</v>
      </c>
      <c r="K16" s="3" cm="1">
        <f t="array" ref="K16">_xll.FDS(D16,"FMA_EVAL_EBITDA(NTMA,0,,,""PORTAGG"",""MEANR"")")</f>
        <v>16.0274084191397</v>
      </c>
      <c r="L16" cm="1">
        <f t="array" ref="L16">_xll.FDS(D16,"FMA_EVAL_EBIT(LTMA,NOW,NOW,M,""PORTAGG"",""MEANR"")")</f>
        <v>23.072062584909201</v>
      </c>
      <c r="M16">
        <f>HLOOKUP(D16,'Index ROE'!$A$1:$V$25,25,FALSE)</f>
        <v>16.081240678059899</v>
      </c>
      <c r="N16">
        <f>VLOOKUP(A16,'LIQIDITY 2'!$A$3:$E$26,5,FALSE)</f>
        <v>6.9705000000000004</v>
      </c>
      <c r="O16" cm="1">
        <f t="array" ref="O16">IFERROR(IFERROR(IFERROR(IFERROR(_xll.FDS(B16,"IMF_IFS_RCPI_Q(0)"),_xll.FDS(B16,"IMF_IFS_RCPI_Q(-1AM)")),_xll.FDS(B16,"IMF_IFS_RCPI_Q(-2AM)")),_xll.FDS(B16,"IMF_IFS_RCPI_Q(-3AM)")),$D$31)</f>
        <v>5.0141410000000004</v>
      </c>
      <c r="P16">
        <f>VLOOKUP(E16,GDP_GROWTH!$B$10:$W$165,22,FALSE)</f>
        <v>4.5925545086595072</v>
      </c>
      <c r="Q16">
        <f t="shared" si="0"/>
        <v>-5.7004288565812509</v>
      </c>
      <c r="R16" s="55">
        <f t="shared" si="1"/>
        <v>-4.2797872489083399</v>
      </c>
      <c r="S16">
        <f t="shared" si="2"/>
        <v>9.1107406780598978</v>
      </c>
      <c r="T16">
        <f t="shared" si="3"/>
        <v>11.067099678059899</v>
      </c>
      <c r="U16" cm="1">
        <f t="array" ref="U16">_xlfn.PERCENTRANK.EXC(_xlfn._xlws.FILTER(Q$3:Q$23, ISNUMBER(Q$3:Q$23)),Q16)*100</f>
        <v>13.600000000000001</v>
      </c>
      <c r="V16" cm="1">
        <f t="array" ref="V16">_xlfn.PERCENTRANK.EXC(_xlfn._xlws.FILTER(R$3:R$23, ISNUMBER(R$3:R$23)),R16)*100</f>
        <v>9</v>
      </c>
      <c r="W16" cm="1">
        <f t="array" ref="W16">_xlfn.PERCENTRANK.EXC(_xlfn._xlws.FILTER(S$3:S$23, ISNUMBER(S$3:S$23)),S16)*100</f>
        <v>72.7</v>
      </c>
      <c r="X16" cm="1">
        <f t="array" ref="X16">(1-_xlfn.PERCENTRANK.EXC(_xlfn._xlws.FILTER(G$3:G$23, ISNUMBER(G$3:G$23)),G16))*100</f>
        <v>4.6000000000000041</v>
      </c>
      <c r="Y16" cm="1">
        <f t="array" ref="Y16">(1-_xlfn.PERCENTRANK.EXC(_xlfn._xlws.FILTER(H$3:H$23, ISNUMBER(H$3:H$23)),H16))*100</f>
        <v>4.6000000000000041</v>
      </c>
      <c r="Z16" cm="1">
        <f t="array" ref="Z16">_xlfn.PERCENTRANK.EXC(_xlfn._xlws.FILTER(T$3:T$23, ISNUMBER(T$3:T$23)),T16)*100</f>
        <v>81.8</v>
      </c>
      <c r="AA16" cm="1">
        <f t="array" ref="AA16">_xlfn.PERCENTRANK.EXC(_xlfn._xlws.FILTER(P$3:P$23, ISNUMBER(P$3:P$23)),P16)*100</f>
        <v>77.2</v>
      </c>
      <c r="AB16">
        <f>U16*Assumption!$E$40 + V16*Assumption!$F$40 + X16*Assumption!$G$40 + Y16*Assumption!$H$40 + W16*Assumption!$I$40 +Z16* Assumption!$K$40 + AA16* Assumption!$J$40</f>
        <v>20.680000000000003</v>
      </c>
      <c r="AC16" cm="1">
        <f t="array" ref="AC16">_xlfn.PERCENTRANK.EXC(_xlfn._xlws.FILTER(AB$3:AB$23, ISNUMBER(AB$3:AB$23)),AB16)*100</f>
        <v>4.5</v>
      </c>
    </row>
    <row r="17" spans="1:29" x14ac:dyDescent="0.35">
      <c r="A17" t="s">
        <v>26</v>
      </c>
      <c r="B17" t="s">
        <v>177</v>
      </c>
      <c r="C17" t="s">
        <v>41</v>
      </c>
      <c r="D17" t="s">
        <v>26</v>
      </c>
      <c r="E17" t="s">
        <v>615</v>
      </c>
      <c r="F17" s="2" cm="1">
        <f t="array" ref="F17">_xll.FDS(D17,"JULIAN(FMA_DIV_YLD(NTMA,NOW,NOW,M,""PORTAGG"",""MEANR"").dates)")</f>
        <v>45471</v>
      </c>
      <c r="G17" s="4" cm="1">
        <f t="array" ref="G17">_xll.FDS(D17,"FMA_PE(LTM,0,,,""PORTAGG"",""MEANR"")")</f>
        <v>12.801686961024799</v>
      </c>
      <c r="H17" s="4" cm="1">
        <f t="array" ref="H17">_xll.FDS(D17,"FMA_PE(NTMA,0,,,""PORTAGG"",""MEANR"")")</f>
        <v>9.49651424379317</v>
      </c>
      <c r="I17" cm="1">
        <f t="array" ref="I17">_xll.FDS(D17,"FMA_DIV_YLD(NTMA,NOW,NOW,M,""PORTAGG"",""MEANR"")")</f>
        <v>2.95568682303138</v>
      </c>
      <c r="J17" s="55" cm="1">
        <f t="array" ref="J17">IFERROR(_xll.FDS(D17,"FG_FCF_YIELD_NTM(0)"),(1/G17*100))</f>
        <v>7.6098263117253202</v>
      </c>
      <c r="K17" s="3" cm="1">
        <f t="array" ref="K17">_xll.FDS(D17,"FMA_EVAL_EBITDA(NTMA,0,,,""PORTAGG"",""MEANR"")")</f>
        <v>8.3959575002553208</v>
      </c>
      <c r="L17" cm="1">
        <f t="array" ref="L17">_xll.FDS(D17,"FMA_EVAL_EBIT(LTMA,NOW,NOW,M,""PORTAGG"",""MEANR"")")</f>
        <v>13.217911740795</v>
      </c>
      <c r="M17">
        <f>HLOOKUP(D17,'Index ROE'!$A$1:$V$25,25,FALSE)</f>
        <v>11.5624016356405</v>
      </c>
      <c r="N17">
        <f>VLOOKUP(A17,'LIQIDITY 2'!$A$3:$E$26,5,FALSE)</f>
        <v>2.2690000000000001</v>
      </c>
      <c r="O17" cm="1">
        <f t="array" ref="O17">IFERROR(IFERROR(IFERROR(IFERROR(_xll.FDS(B17,"IMF_IFS_RCPI_Q(0)"),_xll.FDS(B17,"IMF_IFS_RCPI_Q(-1AM)")),_xll.FDS(B17,"IMF_IFS_RCPI_Q(-2AM)")),_xll.FDS(B17,"IMF_IFS_RCPI_Q(-3AM)")),$D$31)</f>
        <v>-3.2184999999999998E-2</v>
      </c>
      <c r="P17">
        <f>VLOOKUP(E17,GDP_GROWTH!$B$10:$W$165,22,FALSE)</f>
        <v>5.6866931054303738</v>
      </c>
      <c r="Q17">
        <f t="shared" si="0"/>
        <v>0.68668682303137984</v>
      </c>
      <c r="R17" s="55">
        <f t="shared" si="1"/>
        <v>5.3408263117253201</v>
      </c>
      <c r="S17">
        <f t="shared" si="2"/>
        <v>9.2934016356404996</v>
      </c>
      <c r="T17">
        <f t="shared" si="3"/>
        <v>11.5945866356405</v>
      </c>
      <c r="U17" cm="1">
        <f t="array" ref="U17">_xlfn.PERCENTRANK.EXC(_xlfn._xlws.FILTER(Q$3:Q$23, ISNUMBER(Q$3:Q$23)),Q17)*100</f>
        <v>63.6</v>
      </c>
      <c r="V17" cm="1">
        <f t="array" ref="V17">_xlfn.PERCENTRANK.EXC(_xlfn._xlws.FILTER(R$3:R$23, ISNUMBER(R$3:R$23)),R17)*100</f>
        <v>81.8</v>
      </c>
      <c r="W17" cm="1">
        <f t="array" ref="W17">_xlfn.PERCENTRANK.EXC(_xlfn._xlws.FILTER(S$3:S$23, ISNUMBER(S$3:S$23)),S17)*100</f>
        <v>77.2</v>
      </c>
      <c r="X17" cm="1">
        <f t="array" ref="X17">(1-_xlfn.PERCENTRANK.EXC(_xlfn._xlws.FILTER(G$3:G$23, ISNUMBER(G$3:G$23)),G17))*100</f>
        <v>59.099999999999994</v>
      </c>
      <c r="Y17" cm="1">
        <f t="array" ref="Y17">(1-_xlfn.PERCENTRANK.EXC(_xlfn._xlws.FILTER(H$3:H$23, ISNUMBER(H$3:H$23)),H17))*100</f>
        <v>63.7</v>
      </c>
      <c r="Z17" cm="1">
        <f t="array" ref="Z17">_xlfn.PERCENTRANK.EXC(_xlfn._xlws.FILTER(T$3:T$23, ISNUMBER(T$3:T$23)),T17)*100</f>
        <v>86.3</v>
      </c>
      <c r="AA17" cm="1">
        <f t="array" ref="AA17">_xlfn.PERCENTRANK.EXC(_xlfn._xlws.FILTER(P$3:P$23, ISNUMBER(P$3:P$23)),P17)*100</f>
        <v>86.3</v>
      </c>
      <c r="AB17">
        <f>U17*Assumption!$E$40 + V17*Assumption!$F$40 + X17*Assumption!$G$40 + Y17*Assumption!$H$40 + W17*Assumption!$I$40 +Z17* Assumption!$K$40 + AA17* Assumption!$J$40</f>
        <v>70.679999999999993</v>
      </c>
      <c r="AC17" cm="1">
        <f t="array" ref="AC17">_xlfn.PERCENTRANK.EXC(_xlfn._xlws.FILTER(AB$3:AB$23, ISNUMBER(AB$3:AB$23)),AB17)*100</f>
        <v>77.2</v>
      </c>
    </row>
    <row r="18" spans="1:29" x14ac:dyDescent="0.35">
      <c r="A18" t="s">
        <v>1</v>
      </c>
      <c r="B18" t="s">
        <v>360</v>
      </c>
      <c r="C18" t="s">
        <v>444</v>
      </c>
      <c r="D18" t="s">
        <v>31</v>
      </c>
      <c r="E18" t="s">
        <v>702</v>
      </c>
      <c r="F18" s="2" cm="1">
        <f t="array" ref="F18">_xll.FDS(D18,"JULIAN(FMA_DIV_YLD(NTMA,NOW,NOW,M,""PORTAGG"",""MEANR"").dates)")</f>
        <v>45471</v>
      </c>
      <c r="G18" s="4" cm="1">
        <f t="array" ref="G18">_xll.FDS(D18,"FMA_PE(LTM,0,,,""PORTAGG"",""MEANR"")")</f>
        <v>11.3534467197202</v>
      </c>
      <c r="H18" s="4" cm="1">
        <f t="array" ref="H18">_xll.FDS(D18,"FMA_PE(NTMA,0,,,""PORTAGG"",""MEANR"")")</f>
        <v>10.405808356464499</v>
      </c>
      <c r="I18" cm="1">
        <f t="array" ref="I18">_xll.FDS(D18,"FMA_DIV_YLD(NTMA,NOW,NOW,M,""PORTAGG"",""MEANR"")")</f>
        <v>5.5613383911573404</v>
      </c>
      <c r="J18" s="55" cm="1">
        <f t="array" ref="J18">IFERROR(_xll.FDS(D18,"FG_FCF_YIELD_NTM(0)"),(1/G18*100))</f>
        <v>8.8078979422439616</v>
      </c>
      <c r="K18" s="3" cm="1">
        <f t="array" ref="K18">_xll.FDS(D18,"FMA_EVAL_EBITDA(NTMA,0,,,""PORTAGG"",""MEANR"")")</f>
        <v>8.7424142980662101</v>
      </c>
      <c r="L18" cm="1">
        <f t="array" ref="L18">_xll.FDS(D18,"FMA_EVAL_EBIT(LTMA,NOW,NOW,M,""PORTAGG"",""MEANR"")")</f>
        <v>15.1413897342729</v>
      </c>
      <c r="M18">
        <f>HLOOKUP(D18,'Index ROE'!$A$1:$V$25,25,FALSE)</f>
        <v>12.1192289718939</v>
      </c>
      <c r="N18">
        <f>VLOOKUP(A18,'LIQIDITY 2'!$A$3:$E$26,5,FALSE)</f>
        <v>4.2378999999999998</v>
      </c>
      <c r="O18" cm="1">
        <f t="array" ref="O18">IFERROR(IFERROR(IFERROR(IFERROR(_xll.FDS(B18,"IMF_IFS_RCPI_Q(0)"),_xll.FDS(B18,"IMF_IFS_RCPI_Q(-1AM)")),_xll.FDS(B18,"IMF_IFS_RCPI_Q(-2AM)")),_xll.FDS(B18,"IMF_IFS_RCPI_Q(-3AM)")),$D$31)</f>
        <v>3.2410160000000001</v>
      </c>
      <c r="P18">
        <f>VLOOKUP(E18,GDP_GROWTH!$B$10:$W$165,22,FALSE)</f>
        <v>1.453731693851934</v>
      </c>
      <c r="Q18">
        <f t="shared" si="0"/>
        <v>1.3234383911573406</v>
      </c>
      <c r="R18" s="55">
        <f t="shared" si="1"/>
        <v>4.5699979422439618</v>
      </c>
      <c r="S18">
        <f t="shared" si="2"/>
        <v>7.8813289718939004</v>
      </c>
      <c r="T18">
        <f t="shared" si="3"/>
        <v>8.8782129718939</v>
      </c>
      <c r="U18" cm="1">
        <f t="array" ref="U18">_xlfn.PERCENTRANK.EXC(_xlfn._xlws.FILTER(Q$3:Q$23, ISNUMBER(Q$3:Q$23)),Q18)*100</f>
        <v>81.8</v>
      </c>
      <c r="V18" cm="1">
        <f t="array" ref="V18">_xlfn.PERCENTRANK.EXC(_xlfn._xlws.FILTER(R$3:R$23, ISNUMBER(R$3:R$23)),R18)*100</f>
        <v>77.2</v>
      </c>
      <c r="W18" cm="1">
        <f t="array" ref="W18">_xlfn.PERCENTRANK.EXC(_xlfn._xlws.FILTER(S$3:S$23, ISNUMBER(S$3:S$23)),S18)*100</f>
        <v>59</v>
      </c>
      <c r="X18" cm="1">
        <f t="array" ref="X18">(1-_xlfn.PERCENTRANK.EXC(_xlfn._xlws.FILTER(G$3:G$23, ISNUMBER(G$3:G$23)),G18))*100</f>
        <v>68.199999999999989</v>
      </c>
      <c r="Y18" cm="1">
        <f t="array" ref="Y18">(1-_xlfn.PERCENTRANK.EXC(_xlfn._xlws.FILTER(H$3:H$23, ISNUMBER(H$3:H$23)),H18))*100</f>
        <v>50</v>
      </c>
      <c r="Z18" cm="1">
        <f t="array" ref="Z18">_xlfn.PERCENTRANK.EXC(_xlfn._xlws.FILTER(T$3:T$23, ISNUMBER(T$3:T$23)),T18)*100</f>
        <v>31.8</v>
      </c>
      <c r="AA18" cm="1">
        <f t="array" ref="AA18">_xlfn.PERCENTRANK.EXC(_xlfn._xlws.FILTER(P$3:P$23, ISNUMBER(P$3:P$23)),P18)*100</f>
        <v>22.7</v>
      </c>
      <c r="AB18">
        <f>U18*Assumption!$E$40 + V18*Assumption!$F$40 + X18*Assumption!$G$40 + Y18*Assumption!$H$40 + W18*Assumption!$I$40 +Z18* Assumption!$K$40 + AA18* Assumption!$J$40</f>
        <v>62.019999999999996</v>
      </c>
      <c r="AC18" cm="1">
        <f t="array" ref="AC18">_xlfn.PERCENTRANK.EXC(_xlfn._xlws.FILTER(AB$3:AB$23, ISNUMBER(AB$3:AB$23)),AB18)*100</f>
        <v>68.100000000000009</v>
      </c>
    </row>
    <row r="19" spans="1:29" x14ac:dyDescent="0.35">
      <c r="A19" t="s">
        <v>757</v>
      </c>
      <c r="B19" t="s">
        <v>221</v>
      </c>
      <c r="C19" t="s">
        <v>758</v>
      </c>
      <c r="D19" t="s">
        <v>757</v>
      </c>
      <c r="E19" t="s">
        <v>723</v>
      </c>
      <c r="F19" s="2" cm="1">
        <f t="array" ref="F19">_xll.FDS(D19,"JULIAN(FMA_DIV_YLD(NTMA,NOW,NOW,M,""PORTAGG"",""MEANR"").dates)")</f>
        <v>45471</v>
      </c>
      <c r="G19" s="4" cm="1">
        <f t="array" ref="G19">_xll.FDS(D19,"FMA_PE(LTM,0,,,""PORTAGG"",""MEANR"")")</f>
        <v>16.541847771772598</v>
      </c>
      <c r="H19" s="4" cm="1">
        <f t="array" ref="H19">_xll.FDS(D19,"FMA_PE(NTMA,0,,,""PORTAGG"",""MEANR"")")</f>
        <v>13.519026165813299</v>
      </c>
      <c r="I19" cm="1">
        <f t="array" ref="I19">_xll.FDS(D19,"FMA_DIV_YLD(NTMA,NOW,NOW,M,""PORTAGG"",""MEANR"")")</f>
        <v>3.8580464273747301</v>
      </c>
      <c r="J19" s="55" cm="1">
        <f t="array" ref="J19">IFERROR(_xll.FDS(D19,"FG_FCF_YIELD_NTM(0)"),(1/G19*100))</f>
        <v>4.4563063011741697</v>
      </c>
      <c r="K19" s="3" cm="1">
        <f t="array" ref="K19">_xll.FDS(D19,"FMA_EVAL_EBITDA(NTMA,0,,,""PORTAGG"",""MEANR"")")</f>
        <v>9.1998173313301397</v>
      </c>
      <c r="L19" cm="1">
        <f t="array" ref="L19">_xll.FDS(D19,"FMA_EVAL_EBIT(LTMA,NOW,NOW,M,""PORTAGG"",""MEANR"")")</f>
        <v>18.153594799131401</v>
      </c>
      <c r="M19">
        <f>HLOOKUP(D19,'Index ROE'!$A$1:$V$25,25,FALSE)</f>
        <v>9.34877442177023</v>
      </c>
      <c r="N19">
        <f>VLOOKUP(A19,'LIQIDITY 2'!$A$3:$E$26,5,FALSE)</f>
        <v>2.6025999999999998</v>
      </c>
      <c r="O19" cm="1">
        <f t="array" ref="O19">IFERROR(IFERROR(IFERROR(IFERROR(_xll.FDS(B19,"IMF_IFS_RCPI_Q(0)"),_xll.FDS(B19,"IMF_IFS_RCPI_Q(-1AM)")),_xll.FDS(B19,"IMF_IFS_RCPI_Q(-2AM)")),_xll.FDS(B19,"IMF_IFS_RCPI_Q(-3AM)")),$D$31)</f>
        <v>-0.78397644</v>
      </c>
      <c r="P19">
        <f>VLOOKUP(E19,GDP_GROWTH!$B$10:$W$165,22,FALSE)</f>
        <v>1.3158022817511328</v>
      </c>
      <c r="Q19">
        <f t="shared" si="0"/>
        <v>1.2554464273747303</v>
      </c>
      <c r="R19" s="55">
        <f t="shared" si="1"/>
        <v>1.8537063011741699</v>
      </c>
      <c r="S19">
        <f t="shared" si="2"/>
        <v>6.7461744217702302</v>
      </c>
      <c r="T19">
        <f t="shared" si="3"/>
        <v>10.13275086177023</v>
      </c>
      <c r="U19" cm="1">
        <f t="array" ref="U19">_xlfn.PERCENTRANK.EXC(_xlfn._xlws.FILTER(Q$3:Q$23, ISNUMBER(Q$3:Q$23)),Q19)*100</f>
        <v>72.7</v>
      </c>
      <c r="V19" cm="1">
        <f t="array" ref="V19">_xlfn.PERCENTRANK.EXC(_xlfn._xlws.FILTER(R$3:R$23, ISNUMBER(R$3:R$23)),R19)*100</f>
        <v>50</v>
      </c>
      <c r="W19" cm="1">
        <f t="array" ref="W19">_xlfn.PERCENTRANK.EXC(_xlfn._xlws.FILTER(S$3:S$23, ISNUMBER(S$3:S$23)),S19)*100</f>
        <v>45.4</v>
      </c>
      <c r="X19" cm="1">
        <f t="array" ref="X19">(1-_xlfn.PERCENTRANK.EXC(_xlfn._xlws.FILTER(G$3:G$23, ISNUMBER(G$3:G$23)),G19))*100</f>
        <v>36.4</v>
      </c>
      <c r="Y19" cm="1">
        <f t="array" ref="Y19">(1-_xlfn.PERCENTRANK.EXC(_xlfn._xlws.FILTER(H$3:H$23, ISNUMBER(H$3:H$23)),H19))*100</f>
        <v>27.3</v>
      </c>
      <c r="Z19" cm="1">
        <f t="array" ref="Z19">_xlfn.PERCENTRANK.EXC(_xlfn._xlws.FILTER(T$3:T$23, ISNUMBER(T$3:T$23)),T19)*100</f>
        <v>68.100000000000009</v>
      </c>
      <c r="AA19" cm="1">
        <f t="array" ref="AA19">_xlfn.PERCENTRANK.EXC(_xlfn._xlws.FILTER(P$3:P$23, ISNUMBER(P$3:P$23)),P19)*100</f>
        <v>18.099999999999998</v>
      </c>
      <c r="AB19">
        <f>U19*Assumption!$E$40 + V19*Assumption!$F$40 + X19*Assumption!$G$40 + Y19*Assumption!$H$40 + W19*Assumption!$I$40 +Z19* Assumption!$K$40 + AA19* Assumption!$J$40</f>
        <v>43.410000000000004</v>
      </c>
      <c r="AC19" cm="1">
        <f t="array" ref="AC19">_xlfn.PERCENTRANK.EXC(_xlfn._xlws.FILTER(AB$3:AB$23, ISNUMBER(AB$3:AB$23)),AB19)*100</f>
        <v>50</v>
      </c>
    </row>
    <row r="20" spans="1:29" x14ac:dyDescent="0.35">
      <c r="A20" t="s">
        <v>25</v>
      </c>
      <c r="B20" t="s">
        <v>279</v>
      </c>
      <c r="C20" t="s">
        <v>446</v>
      </c>
      <c r="D20" t="s">
        <v>25</v>
      </c>
      <c r="E20" t="s">
        <v>727</v>
      </c>
      <c r="F20" s="2" cm="1">
        <f t="array" ref="F20">_xll.FDS(D20,"JULIAN(FMA_DIV_YLD(NTMA,NOW,NOW,M,""PORTAGG"",""MEANR"").dates)")</f>
        <v>45471</v>
      </c>
      <c r="G20" s="4" cm="1">
        <f t="array" ref="G20">_xll.FDS(D20,"FMA_PE(LTM,0,,,""PORTAGG"",""MEANR"")")</f>
        <v>9.3568341200950709</v>
      </c>
      <c r="H20" s="4" cm="1">
        <f t="array" ref="H20">_xll.FDS(D20,"FMA_PE(NTMA,0,,,""PORTAGG"",""MEANR"")")</f>
        <v>6.38842321139958</v>
      </c>
      <c r="I20" cm="1">
        <f t="array" ref="I20">_xll.FDS(D20,"FMA_DIV_YLD(NTMA,NOW,NOW,M,""PORTAGG"",""MEANR"")")</f>
        <v>3.9648769882638999</v>
      </c>
      <c r="J20" s="55" cm="1">
        <f t="array" ref="J20">IFERROR(_xll.FDS(D20,"FG_FCF_YIELD_NTM(0)"),(1/G20*100))</f>
        <v>6.9503337398499001</v>
      </c>
      <c r="K20" s="3" cm="1">
        <f t="array" ref="K20">_xll.FDS(D20,"FMA_EVAL_EBITDA(NTMA,0,,,""PORTAGG"",""MEANR"")")</f>
        <v>5.2659934068253804</v>
      </c>
      <c r="L20" cm="1">
        <f t="array" ref="L20">_xll.FDS(D20,"FMA_EVAL_EBIT(LTMA,NOW,NOW,M,""PORTAGG"",""MEANR"")")</f>
        <v>8.1559937006251708</v>
      </c>
      <c r="M20">
        <f>HLOOKUP(D20,'Index ROE'!$A$1:$V$25,25,FALSE)</f>
        <v>25.846008849302699</v>
      </c>
      <c r="N20">
        <f>VLOOKUP(A20,'LIQIDITY 2'!$A$3:$E$26,5,FALSE)</f>
        <v>23.925453000000001</v>
      </c>
      <c r="O20" cm="1">
        <f t="array" ref="O20">IFERROR(IFERROR(IFERROR(IFERROR(_xll.FDS(B20,"IMF_IFS_RCPI_Q(0)"),_xll.FDS(B20,"IMF_IFS_RCPI_Q(-1AM)")),_xll.FDS(B20,"IMF_IFS_RCPI_Q(-2AM)")),_xll.FDS(B20,"IMF_IFS_RCPI_Q(-3AM)")),$D$31)</f>
        <v>66.839934999999997</v>
      </c>
      <c r="P20">
        <f>VLOOKUP(E20,GDP_GROWTH!$B$10:$W$165,22,FALSE)</f>
        <v>4.8494927539907469</v>
      </c>
      <c r="Q20">
        <f t="shared" si="0"/>
        <v>-19.960576011736102</v>
      </c>
      <c r="R20" s="55">
        <f t="shared" si="1"/>
        <v>-16.975119260150102</v>
      </c>
      <c r="S20">
        <f t="shared" si="2"/>
        <v>1.9205558493026977</v>
      </c>
      <c r="T20">
        <f t="shared" si="3"/>
        <v>-40.993926150697298</v>
      </c>
      <c r="U20" cm="1">
        <f t="array" ref="U20">_xlfn.PERCENTRANK.EXC(_xlfn._xlws.FILTER(Q$3:Q$23, ISNUMBER(Q$3:Q$23)),Q20)*100</f>
        <v>4.5</v>
      </c>
      <c r="V20" cm="1">
        <f t="array" ref="V20">_xlfn.PERCENTRANK.EXC(_xlfn._xlws.FILTER(R$3:R$23, ISNUMBER(R$3:R$23)),R20)*100</f>
        <v>4.5</v>
      </c>
      <c r="W20" cm="1">
        <f t="array" ref="W20">_xlfn.PERCENTRANK.EXC(_xlfn._xlws.FILTER(S$3:S$23, ISNUMBER(S$3:S$23)),S20)*100</f>
        <v>4.5</v>
      </c>
      <c r="X20" cm="1">
        <f t="array" ref="X20">(1-_xlfn.PERCENTRANK.EXC(_xlfn._xlws.FILTER(G$3:G$23, ISNUMBER(G$3:G$23)),G20))*100</f>
        <v>81.899999999999991</v>
      </c>
      <c r="Y20" cm="1">
        <f t="array" ref="Y20">(1-_xlfn.PERCENTRANK.EXC(_xlfn._xlws.FILTER(H$3:H$23, ISNUMBER(H$3:H$23)),H20))*100</f>
        <v>95.5</v>
      </c>
      <c r="Z20" cm="1">
        <f t="array" ref="Z20">_xlfn.PERCENTRANK.EXC(_xlfn._xlws.FILTER(T$3:T$23, ISNUMBER(T$3:T$23)),T20)*100</f>
        <v>4.5</v>
      </c>
      <c r="AA20" cm="1">
        <f t="array" ref="AA20">_xlfn.PERCENTRANK.EXC(_xlfn._xlws.FILTER(P$3:P$23, ISNUMBER(P$3:P$23)),P20)*100</f>
        <v>81.8</v>
      </c>
      <c r="AB20">
        <f>U20*Assumption!$E$40 + V20*Assumption!$F$40 + X20*Assumption!$G$40 + Y20*Assumption!$H$40 + W20*Assumption!$I$40 +Z20* Assumption!$K$40 + AA20* Assumption!$J$40</f>
        <v>46.600000000000009</v>
      </c>
      <c r="AC20" cm="1">
        <f t="array" ref="AC20">_xlfn.PERCENTRANK.EXC(_xlfn._xlws.FILTER(AB$3:AB$23, ISNUMBER(AB$3:AB$23)),AB20)*100</f>
        <v>54.500000000000007</v>
      </c>
    </row>
    <row r="21" spans="1:29" x14ac:dyDescent="0.35">
      <c r="A21" t="s">
        <v>34</v>
      </c>
      <c r="B21" t="s">
        <v>373</v>
      </c>
      <c r="C21" t="s">
        <v>447</v>
      </c>
      <c r="D21" t="s">
        <v>34</v>
      </c>
      <c r="E21" t="s">
        <v>731</v>
      </c>
      <c r="F21" s="2" cm="1">
        <f t="array" ref="F21">_xll.FDS(D21,"JULIAN(FMA_DIV_YLD(NTMA,NOW,NOW,M,""PORTAGG"",""MEANR"").dates)")</f>
        <v>45471</v>
      </c>
      <c r="G21" s="4" cm="1">
        <f t="array" ref="G21">_xll.FDS(D21,"FMA_PE(LTM,0,,,""PORTAGG"",""MEANR"")")</f>
        <v>10.3338944614942</v>
      </c>
      <c r="H21" s="4" cm="1">
        <f t="array" ref="H21">_xll.FDS(D21,"FMA_PE(NTMA,0,,,""PORTAGG"",""MEANR"")")</f>
        <v>8.8135478095939401</v>
      </c>
      <c r="I21" cm="1">
        <f t="array" ref="I21">_xll.FDS(D21,"FMA_DIV_YLD(NTMA,NOW,NOW,M,""PORTAGG"",""MEANR"")")</f>
        <v>5.7177329453279704</v>
      </c>
      <c r="J21" s="55" cm="1">
        <f t="array" ref="J21">IFERROR(_xll.FDS(D21,"FG_FCF_YIELD_NTM(0)"),(1/G21*100))</f>
        <v>8.67907233606193</v>
      </c>
      <c r="K21" s="3" cm="1">
        <f t="array" ref="K21">_xll.FDS(D21,"FMA_EVAL_EBITDA(NTMA,0,,,""PORTAGG"",""MEANR"")")</f>
        <v>5.9278465432934402</v>
      </c>
      <c r="L21" cm="1">
        <f t="array" ref="L21">_xll.FDS(D21,"FMA_EVAL_EBIT(LTMA,NOW,NOW,M,""PORTAGG"",""MEANR"")")</f>
        <v>9.3102330398094004</v>
      </c>
      <c r="M21">
        <f>HLOOKUP(D21,'Index ROE'!$A$1:$V$25,25,FALSE)</f>
        <v>13.2251182354264</v>
      </c>
      <c r="N21">
        <f>VLOOKUP(A21,'LIQIDITY 2'!$A$3:$E$26,5,FALSE)</f>
        <v>4.2378999999999998</v>
      </c>
      <c r="O21" cm="1">
        <f t="array" ref="O21">IFERROR(IFERROR(IFERROR(IFERROR(_xll.FDS(B21,"IMF_IFS_RCPI_Q(0)"),_xll.FDS(B21,"IMF_IFS_RCPI_Q(-1AM)")),_xll.FDS(B21,"IMF_IFS_RCPI_Q(-2AM)")),_xll.FDS(B21,"IMF_IFS_RCPI_Q(-3AM)")),$D$31)</f>
        <v>3.2410160000000001</v>
      </c>
      <c r="P21">
        <f>VLOOKUP(E21,GDP_GROWTH!$B$10:$W$165,22,FALSE)</f>
        <v>2.4407957064008778</v>
      </c>
      <c r="Q21">
        <f t="shared" si="0"/>
        <v>1.4798329453279706</v>
      </c>
      <c r="R21" s="55">
        <f t="shared" si="1"/>
        <v>4.4411723360619302</v>
      </c>
      <c r="S21">
        <f t="shared" si="2"/>
        <v>8.9872182354264005</v>
      </c>
      <c r="T21">
        <f t="shared" si="3"/>
        <v>9.9841022354264002</v>
      </c>
      <c r="U21" cm="1">
        <f t="array" ref="U21">_xlfn.PERCENTRANK.EXC(_xlfn._xlws.FILTER(Q$3:Q$23, ISNUMBER(Q$3:Q$23)),Q21)*100</f>
        <v>86.3</v>
      </c>
      <c r="V21" cm="1">
        <f t="array" ref="V21">_xlfn.PERCENTRANK.EXC(_xlfn._xlws.FILTER(R$3:R$23, ISNUMBER(R$3:R$23)),R21)*100</f>
        <v>72.7</v>
      </c>
      <c r="W21" cm="1">
        <f t="array" ref="W21">_xlfn.PERCENTRANK.EXC(_xlfn._xlws.FILTER(S$3:S$23, ISNUMBER(S$3:S$23)),S21)*100</f>
        <v>68.100000000000009</v>
      </c>
      <c r="X21" cm="1">
        <f t="array" ref="X21">(1-_xlfn.PERCENTRANK.EXC(_xlfn._xlws.FILTER(G$3:G$23, ISNUMBER(G$3:G$23)),G21))*100</f>
        <v>77.3</v>
      </c>
      <c r="Y21" cm="1">
        <f t="array" ref="Y21">(1-_xlfn.PERCENTRANK.EXC(_xlfn._xlws.FILTER(H$3:H$23, ISNUMBER(H$3:H$23)),H21))*100</f>
        <v>72.8</v>
      </c>
      <c r="Z21" cm="1">
        <f t="array" ref="Z21">_xlfn.PERCENTRANK.EXC(_xlfn._xlws.FILTER(T$3:T$23, ISNUMBER(T$3:T$23)),T21)*100</f>
        <v>54.500000000000007</v>
      </c>
      <c r="AA21" cm="1">
        <f t="array" ref="AA21">_xlfn.PERCENTRANK.EXC(_xlfn._xlws.FILTER(P$3:P$23, ISNUMBER(P$3:P$23)),P21)*100</f>
        <v>45.4</v>
      </c>
      <c r="AB21">
        <f>U21*Assumption!$E$40 + V21*Assumption!$F$40 + X21*Assumption!$G$40 + Y21*Assumption!$H$40 + W21*Assumption!$I$40 +Z21* Assumption!$K$40 + AA21* Assumption!$J$40</f>
        <v>72.275000000000006</v>
      </c>
      <c r="AC21" cm="1">
        <f t="array" ref="AC21">_xlfn.PERCENTRANK.EXC(_xlfn._xlws.FILTER(AB$3:AB$23, ISNUMBER(AB$3:AB$23)),AB21)*100</f>
        <v>81.8</v>
      </c>
    </row>
    <row r="22" spans="1:29" x14ac:dyDescent="0.35">
      <c r="A22" t="s">
        <v>37</v>
      </c>
      <c r="B22" t="s">
        <v>224</v>
      </c>
      <c r="C22" t="s">
        <v>448</v>
      </c>
      <c r="D22" t="s">
        <v>37</v>
      </c>
      <c r="E22" t="s">
        <v>736</v>
      </c>
      <c r="F22" s="2" cm="1">
        <f t="array" ref="F22">_xll.FDS(D22,"JULIAN(FMA_DIV_YLD(NTMA,NOW,NOW,M,""PORTAGG"",""MEANR"").dates)")</f>
        <v>45471</v>
      </c>
      <c r="G22" s="4" cm="1">
        <f t="array" ref="G22">_xll.FDS(D22,"FMA_PE(LTM,0,,,""PORTAGG"",""MEANR"")")</f>
        <v>16.855429207039499</v>
      </c>
      <c r="H22" s="4" cm="1">
        <f t="array" ref="H22">_xll.FDS(D22,"FMA_PE(NTMA,0,,,""PORTAGG"",""MEANR"")")</f>
        <v>14.133876787517099</v>
      </c>
      <c r="I22" cm="1">
        <f t="array" ref="I22">_xll.FDS(D22,"FMA_DIV_YLD(NTMA,NOW,NOW,M,""PORTAGG"",""MEANR"")")</f>
        <v>1.91037025060779</v>
      </c>
      <c r="J22" s="55" cm="1">
        <f t="array" ref="J22">IFERROR(_xll.FDS(D22,"FG_FCF_YIELD_NTM(0)"),(1/G22*100))</f>
        <v>1.7450909255662199</v>
      </c>
      <c r="K22" s="3" cm="1">
        <f t="array" ref="K22">_xll.FDS(D22,"FMA_EVAL_EBITDA(NTMA,0,,,""PORTAGG"",""MEANR"")")</f>
        <v>9.8309185333761206</v>
      </c>
      <c r="L22" cm="1">
        <f t="array" ref="L22">_xll.FDS(D22,"FMA_EVAL_EBIT(LTMA,NOW,NOW,M,""PORTAGG"",""MEANR"")")</f>
        <v>17.5313242194594</v>
      </c>
      <c r="M22">
        <f>HLOOKUP(D22,'Index ROE'!$A$1:$V$25,25,FALSE)</f>
        <v>10.732551316765701</v>
      </c>
      <c r="N22">
        <f>VLOOKUP(A22,'LIQIDITY 2'!$A$3:$E$26,5,FALSE)</f>
        <v>2.7215104000000001</v>
      </c>
      <c r="O22" cm="1">
        <f t="array" ref="O22">IFERROR(IFERROR(IFERROR(IFERROR(_xll.FDS(B22,"IMF_IFS_RCPI_Q(0)"),_xll.FDS(B22,"IMF_IFS_RCPI_Q(-1AM)")),_xll.FDS(B22,"IMF_IFS_RCPI_Q(-2AM)")),_xll.FDS(B22,"IMF_IFS_RCPI_Q(-3AM)")),$D$31)</f>
        <v>4.3949327</v>
      </c>
      <c r="P22">
        <f>VLOOKUP(E22,GDP_GROWTH!$B$10:$W$165,22,FALSE)</f>
        <v>8.3599457036252378</v>
      </c>
      <c r="Q22">
        <f t="shared" si="0"/>
        <v>-0.81114014939221013</v>
      </c>
      <c r="R22" s="55">
        <f t="shared" si="1"/>
        <v>-0.97641947443378019</v>
      </c>
      <c r="S22">
        <f t="shared" si="2"/>
        <v>8.0110409167657011</v>
      </c>
      <c r="T22">
        <f t="shared" si="3"/>
        <v>6.3376186167657007</v>
      </c>
      <c r="U22" cm="1">
        <f t="array" ref="U22">_xlfn.PERCENTRANK.EXC(_xlfn._xlws.FILTER(Q$3:Q$23, ISNUMBER(Q$3:Q$23)),Q22)*100</f>
        <v>50</v>
      </c>
      <c r="V22" cm="1">
        <f t="array" ref="V22">_xlfn.PERCENTRANK.EXC(_xlfn._xlws.FILTER(R$3:R$23, ISNUMBER(R$3:R$23)),R22)*100</f>
        <v>27.200000000000003</v>
      </c>
      <c r="W22" cm="1">
        <f t="array" ref="W22">_xlfn.PERCENTRANK.EXC(_xlfn._xlws.FILTER(S$3:S$23, ISNUMBER(S$3:S$23)),S22)*100</f>
        <v>63.6</v>
      </c>
      <c r="X22" cm="1">
        <f t="array" ref="X22">(1-_xlfn.PERCENTRANK.EXC(_xlfn._xlws.FILTER(G$3:G$23, ISNUMBER(G$3:G$23)),G22))*100</f>
        <v>31.899999999999995</v>
      </c>
      <c r="Y22" cm="1">
        <f t="array" ref="Y22">(1-_xlfn.PERCENTRANK.EXC(_xlfn._xlws.FILTER(H$3:H$23, ISNUMBER(H$3:H$23)),H22))*100</f>
        <v>22.799999999999997</v>
      </c>
      <c r="Z22" cm="1">
        <f t="array" ref="Z22">_xlfn.PERCENTRANK.EXC(_xlfn._xlws.FILTER(T$3:T$23, ISNUMBER(T$3:T$23)),T22)*100</f>
        <v>13.600000000000001</v>
      </c>
      <c r="AA22" cm="1">
        <f t="array" ref="AA22">_xlfn.PERCENTRANK.EXC(_xlfn._xlws.FILTER(P$3:P$23, ISNUMBER(P$3:P$23)),P22)*100</f>
        <v>95.399999999999991</v>
      </c>
      <c r="AB22">
        <f>U22*Assumption!$E$40 + V22*Assumption!$F$40 + X22*Assumption!$G$40 + Y22*Assumption!$H$40 + W22*Assumption!$I$40 +Z22* Assumption!$K$40 + AA22* Assumption!$J$40</f>
        <v>30.694999999999997</v>
      </c>
      <c r="AC22" cm="1">
        <f t="array" ref="AC22">_xlfn.PERCENTRANK.EXC(_xlfn._xlws.FILTER(AB$3:AB$23, ISNUMBER(AB$3:AB$23)),AB22)*100</f>
        <v>18.099999999999998</v>
      </c>
    </row>
    <row r="23" spans="1:29" x14ac:dyDescent="0.35">
      <c r="A23" t="s">
        <v>36</v>
      </c>
      <c r="B23" t="s">
        <v>363</v>
      </c>
      <c r="C23" t="s">
        <v>449</v>
      </c>
      <c r="D23" t="s">
        <v>36</v>
      </c>
      <c r="E23" t="s">
        <v>706</v>
      </c>
      <c r="F23" s="2" cm="1">
        <f t="array" ref="F23">_xll.FDS(D23,"JULIAN(FMA_DIV_YLD(NTMA,NOW,NOW,M,""PORTAGG"",""MEANR"").dates)")</f>
        <v>45471</v>
      </c>
      <c r="G23" s="4" cm="1">
        <f t="array" ref="G23">_xll.FDS(D23,"FMA_PE(LTM,0,,,""PORTAGG"",""MEANR"")")</f>
        <v>21.405752246258</v>
      </c>
      <c r="H23" s="4" cm="1">
        <f t="array" ref="H23">_xll.FDS(D23,"FMA_PE(NTMA,0,,,""PORTAGG"",""MEANR"")")</f>
        <v>17.2921826025323</v>
      </c>
      <c r="I23" cm="1">
        <f t="array" ref="I23">_xll.FDS(D23,"FMA_DIV_YLD(NTMA,NOW,NOW,M,""PORTAGG"",""MEANR"")")</f>
        <v>3.6202153318408401</v>
      </c>
      <c r="J23" s="55" cm="1">
        <f t="array" ref="J23">IFERROR(_xll.FDS(D23,"FG_FCF_YIELD_NTM(0)"),(1/G23*100))</f>
        <v>4.6716414751311195</v>
      </c>
      <c r="K23" s="3" cm="1">
        <f t="array" ref="K23">_xll.FDS(D23,"FMA_EVAL_EBITDA(NTMA,0,,,""PORTAGG"",""MEANR"")")</f>
        <v>11.084291040979499</v>
      </c>
      <c r="L23" cm="1">
        <f t="array" ref="L23">_xll.FDS(D23,"FMA_EVAL_EBIT(LTMA,NOW,NOW,M,""PORTAGG"",""MEANR"")")</f>
        <v>21.108118404303401</v>
      </c>
      <c r="M23">
        <f>HLOOKUP(D23,'Index ROE'!$A$1:$V$25,25,FALSE)</f>
        <v>11.758331061377</v>
      </c>
      <c r="N23">
        <f>VLOOKUP(A23,'LIQIDITY 2'!$A$3:$E$26,5,FALSE)</f>
        <v>5.0752959999999998</v>
      </c>
      <c r="O23" cm="1">
        <f t="array" ref="O23">IFERROR(IFERROR(IFERROR(IFERROR(_xll.FDS(B23,"IMF_IFS_RCPI_Q(0)"),_xll.FDS(B23,"IMF_IFS_RCPI_Q(-1AM)")),_xll.FDS(B23,"IMF_IFS_RCPI_Q(-2AM)")),_xll.FDS(B23,"IMF_IFS_RCPI_Q(-3AM)")),$D$31)</f>
        <v>1.6709556999999999</v>
      </c>
      <c r="P23">
        <f>VLOOKUP(E23,GDP_GROWTH!$B$10:$W$165,22,FALSE)</f>
        <v>2.105673262075014</v>
      </c>
      <c r="Q23">
        <f t="shared" si="0"/>
        <v>-1.4550806681591597</v>
      </c>
      <c r="R23" s="55">
        <f t="shared" si="1"/>
        <v>-0.40365452486888032</v>
      </c>
      <c r="S23">
        <f t="shared" si="2"/>
        <v>6.6830350613769998</v>
      </c>
      <c r="T23">
        <f t="shared" si="3"/>
        <v>10.087375361376999</v>
      </c>
      <c r="U23" cm="1">
        <f t="array" ref="U23">_xlfn.PERCENTRANK.EXC(_xlfn._xlws.FILTER(Q$3:Q$23, ISNUMBER(Q$3:Q$23)),Q23)*100</f>
        <v>40.9</v>
      </c>
      <c r="V23" cm="1">
        <f t="array" ref="V23">_xlfn.PERCENTRANK.EXC(_xlfn._xlws.FILTER(R$3:R$23, ISNUMBER(R$3:R$23)),R23)*100</f>
        <v>36.299999999999997</v>
      </c>
      <c r="W23" cm="1">
        <f t="array" ref="W23">_xlfn.PERCENTRANK.EXC(_xlfn._xlws.FILTER(S$3:S$23, ISNUMBER(S$3:S$23)),S23)*100</f>
        <v>40.9</v>
      </c>
      <c r="X23" cm="1">
        <f t="array" ref="X23">(1-_xlfn.PERCENTRANK.EXC(_xlfn._xlws.FILTER(G$3:G$23, ISNUMBER(G$3:G$23)),G23))*100</f>
        <v>13.700000000000001</v>
      </c>
      <c r="Y23" cm="1">
        <f t="array" ref="Y23">(1-_xlfn.PERCENTRANK.EXC(_xlfn._xlws.FILTER(H$3:H$23, ISNUMBER(H$3:H$23)),H23))*100</f>
        <v>13.700000000000001</v>
      </c>
      <c r="Z23" cm="1">
        <f t="array" ref="Z23">_xlfn.PERCENTRANK.EXC(_xlfn._xlws.FILTER(T$3:T$23, ISNUMBER(T$3:T$23)),T23)*100</f>
        <v>63.6</v>
      </c>
      <c r="AA23" cm="1">
        <f t="array" ref="AA23">_xlfn.PERCENTRANK.EXC(_xlfn._xlws.FILTER(P$3:P$23, ISNUMBER(P$3:P$23)),P23)*100</f>
        <v>31.8</v>
      </c>
      <c r="AB23">
        <f>U23*Assumption!$E$40 + V23*Assumption!$F$40 + X23*Assumption!$G$40 + Y23*Assumption!$H$40 + W23*Assumption!$I$40 +Z23* Assumption!$K$40 + AA23* Assumption!$J$40</f>
        <v>28.419999999999998</v>
      </c>
      <c r="AC23" cm="1">
        <f t="array" ref="AC23">_xlfn.PERCENTRANK.EXC(_xlfn._xlws.FILTER(AB$3:AB$23, ISNUMBER(AB$3:AB$23)),AB23)*100</f>
        <v>9</v>
      </c>
    </row>
    <row r="24" spans="1:29" x14ac:dyDescent="0.35">
      <c r="F24" s="2"/>
      <c r="G24" s="4"/>
      <c r="H24" s="4"/>
      <c r="J24" s="55"/>
      <c r="K24" s="3"/>
    </row>
    <row r="25" spans="1:29" x14ac:dyDescent="0.35">
      <c r="F25" s="2"/>
      <c r="G25" s="4"/>
      <c r="H25" s="4"/>
      <c r="J25" s="55"/>
      <c r="K25" s="3"/>
    </row>
    <row r="26" spans="1:29" x14ac:dyDescent="0.35">
      <c r="A26" t="s">
        <v>546</v>
      </c>
      <c r="F26" s="2"/>
      <c r="G26" s="4"/>
      <c r="H26" s="4"/>
      <c r="J26" s="55"/>
      <c r="K26" s="3"/>
    </row>
    <row r="27" spans="1:29" x14ac:dyDescent="0.35">
      <c r="A27" t="s">
        <v>547</v>
      </c>
      <c r="B27" t="s">
        <v>161</v>
      </c>
      <c r="C27" t="s">
        <v>548</v>
      </c>
      <c r="D27" t="str">
        <f>A27</f>
        <v>VGK</v>
      </c>
      <c r="F27" s="2" cm="1">
        <f t="array" ref="F27">_xll.FDS(D27,"JULIAN(FMA_DIV_YLD(NTMA,NOW,NOW,M,""PORTAGG"",""MEANR"").dates)")</f>
        <v>45443</v>
      </c>
      <c r="G27" s="4" cm="1">
        <f t="array" ref="G27">_xll.FDS(D27,"FG_PE(0)")</f>
        <v>14.3437891278789</v>
      </c>
      <c r="H27" s="4" cm="1">
        <f t="array" ref="H27">_xll.FDS(D27,"FG_PE_NTM(0,,,90,0)")</f>
        <v>13.4915688159165</v>
      </c>
      <c r="I27" cm="1">
        <f t="array" ref="I27">_xll.FDS(D27,"FMA_DIV_YLD(NTMA,NOW,NOW,M,""PORTAGG"",""MEANR"")")</f>
        <v>3.4435471369909099</v>
      </c>
      <c r="J27" s="55" cm="1">
        <f t="array" ref="J27">_xll.FDS(D27,"FG_FCF_YIELD_NTM(0)")</f>
        <v>5.1987539643316998</v>
      </c>
      <c r="K27" s="3" cm="1">
        <f t="array" ref="K27">_xll.FDS(D27,"FMA_EVAL_EBITDA(NTMA,0,,,""PORTAGG"",""MEANR"")")</f>
        <v>8.9600106008599401</v>
      </c>
      <c r="L27" cm="1">
        <f t="array" ref="L27">_xll.FDS(D27,"FMA_EVAL_EBIT(LTMA,NOW,NOW,M,""PORTAGG"",""MEANR"")")</f>
        <v>13.291354046744299</v>
      </c>
    </row>
    <row r="28" spans="1:29" x14ac:dyDescent="0.35">
      <c r="A28" t="s">
        <v>6</v>
      </c>
      <c r="C28" t="s">
        <v>549</v>
      </c>
      <c r="D28" t="str">
        <f>A28</f>
        <v>VWO</v>
      </c>
      <c r="F28" s="2" cm="1">
        <f t="array" ref="F28">_xll.FDS(D28,"JULIAN(FMA_DIV_YLD(NTMA,NOW,NOW,M,""PORTAGG"",""MEANR"").dates)")</f>
        <v>45443</v>
      </c>
      <c r="G28" s="4" cm="1">
        <f t="array" ref="G28">_xll.FDS(D28,"FG_PE(0)")</f>
        <v>14.4640537694995</v>
      </c>
      <c r="H28" s="4" cm="1">
        <f t="array" ref="H28">_xll.FDS(D28,"FG_PE_NTM(0,,,90,0)")</f>
        <v>12.641494189096299</v>
      </c>
      <c r="I28" cm="1">
        <f t="array" ref="I28">_xll.FDS(D28,"FMA_DIV_YLD(NTMA,NOW,NOW,M,""PORTAGG"",""MEANR"")")</f>
        <v>3.0590391746602901</v>
      </c>
      <c r="J28" s="55" cm="1">
        <f t="array" ref="J28">_xll.FDS(D28,"FG_FCF_YIELD_NTM(0)")</f>
        <v>5.42033256095268</v>
      </c>
      <c r="K28" s="3" cm="1">
        <f t="array" ref="K28">_xll.FDS(D28,"FMA_EVAL_EBITDA(NTMA,0,,,""PORTAGG"",""MEANR"")")</f>
        <v>8.8861941745957793</v>
      </c>
      <c r="L28" cm="1">
        <f t="array" ref="L28">_xll.FDS(D28,"FMA_EVAL_EBIT(LTMA,NOW,NOW,M,""PORTAGG"",""MEANR"")")</f>
        <v>14.2543251547878</v>
      </c>
    </row>
    <row r="29" spans="1:29" x14ac:dyDescent="0.35">
      <c r="F29" s="2"/>
      <c r="G29" s="4"/>
      <c r="H29" s="4"/>
      <c r="J29" s="55"/>
      <c r="K29" s="3"/>
    </row>
    <row r="30" spans="1:29" x14ac:dyDescent="0.35">
      <c r="B30" t="s">
        <v>800</v>
      </c>
      <c r="C30" t="s">
        <v>555</v>
      </c>
      <c r="D30" t="s">
        <v>801</v>
      </c>
      <c r="F30" s="2"/>
      <c r="G30" s="4"/>
      <c r="H30" s="4"/>
      <c r="J30" s="55"/>
      <c r="K30" s="3"/>
    </row>
    <row r="31" spans="1:29" x14ac:dyDescent="0.35">
      <c r="B31" t="s">
        <v>170</v>
      </c>
      <c r="C31" t="s">
        <v>733</v>
      </c>
      <c r="D31" cm="1">
        <f t="array" ref="D31">IFERROR(IFERROR(IFERROR(_xll.FDS(B31,"IMF_IFS_RCPI_Q(0)"),_xll.FDS(B31,"IMF_IFS_RCPI_Q(-1AM)")),_xll.FDS(B31,"IMF_IFS_RCPI_Q(-2AM)")),_xll.FDS(B31,"IMF_IFS_RCPI_Q(-3AM)"))</f>
        <v>3.2410160000000001</v>
      </c>
      <c r="E31" s="2"/>
    </row>
    <row r="41" spans="4:5" x14ac:dyDescent="0.35">
      <c r="D41" s="1"/>
      <c r="E41" s="1"/>
    </row>
    <row r="48" spans="4:5" x14ac:dyDescent="0.35">
      <c r="D48" s="1"/>
      <c r="E48" s="1"/>
    </row>
    <row r="53" spans="4:5" x14ac:dyDescent="0.35">
      <c r="D53" s="1"/>
      <c r="E53" s="1"/>
    </row>
    <row r="58" spans="4:5" x14ac:dyDescent="0.35">
      <c r="D58" s="1"/>
      <c r="E58" s="1"/>
    </row>
    <row r="59" spans="4:5" x14ac:dyDescent="0.35">
      <c r="D59" s="1"/>
      <c r="E59" s="1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79"/>
  <sheetViews>
    <sheetView workbookViewId="0">
      <selection activeCell="A3" sqref="A3"/>
    </sheetView>
  </sheetViews>
  <sheetFormatPr defaultRowHeight="14.5" x14ac:dyDescent="0.35"/>
  <cols>
    <col min="2" max="2" width="12.1796875" bestFit="1" customWidth="1"/>
    <col min="3" max="3" width="15.81640625" customWidth="1"/>
    <col min="4" max="4" width="53" bestFit="1" customWidth="1"/>
    <col min="5" max="5" width="26.453125" customWidth="1"/>
    <col min="6" max="6" width="12.1796875" customWidth="1"/>
    <col min="7" max="7" width="15.1796875" customWidth="1"/>
    <col min="8" max="8" width="18.54296875" customWidth="1"/>
    <col min="9" max="9" width="17.453125" customWidth="1"/>
    <col min="10" max="10" width="17" customWidth="1"/>
    <col min="11" max="11" width="32.54296875" customWidth="1"/>
    <col min="12" max="12" width="35" customWidth="1"/>
    <col min="13" max="13" width="20.81640625" customWidth="1"/>
    <col min="14" max="14" width="9.1796875" style="37"/>
    <col min="20" max="21" width="11.453125" customWidth="1"/>
  </cols>
  <sheetData>
    <row r="1" spans="1:24" x14ac:dyDescent="0.35">
      <c r="S1" s="5">
        <f>Assumption!E43</f>
        <v>0.5</v>
      </c>
      <c r="T1" s="5">
        <f>Assumption!E44</f>
        <v>0.25</v>
      </c>
      <c r="U1" s="5">
        <f>Assumption!E45</f>
        <v>0.25</v>
      </c>
    </row>
    <row r="2" spans="1:24" x14ac:dyDescent="0.35">
      <c r="A2" t="s">
        <v>0</v>
      </c>
      <c r="B2" s="25" t="s">
        <v>96</v>
      </c>
      <c r="C2" s="25" t="s">
        <v>97</v>
      </c>
      <c r="D2" s="25" t="s">
        <v>98</v>
      </c>
      <c r="E2" s="25" t="s">
        <v>536</v>
      </c>
      <c r="G2" s="25" t="s">
        <v>913</v>
      </c>
      <c r="H2" s="25" t="s">
        <v>381</v>
      </c>
      <c r="I2" s="25" t="s">
        <v>501</v>
      </c>
      <c r="L2" s="25" t="s">
        <v>537</v>
      </c>
      <c r="S2" s="5" t="s">
        <v>463</v>
      </c>
      <c r="T2" s="5" t="s">
        <v>462</v>
      </c>
      <c r="U2" t="s">
        <v>382</v>
      </c>
      <c r="V2" s="46"/>
      <c r="X2" t="s">
        <v>563</v>
      </c>
    </row>
    <row r="3" spans="1:24" x14ac:dyDescent="0.35">
      <c r="A3" t="s">
        <v>432</v>
      </c>
      <c r="B3" t="s">
        <v>104</v>
      </c>
      <c r="C3" t="s">
        <v>17</v>
      </c>
      <c r="D3" s="26" t="str" cm="1">
        <f t="array" ref="D3">_xll.FDSB(C3,"FG_YIELD_NAME")</f>
        <v>Treasury - China Benchmark Bond 10Y</v>
      </c>
      <c r="E3" s="26" cm="1">
        <f t="array" ref="E3">IFERROR(_xll.FDS(C3,"FG_YIELD(0,,,,""YTM"")"),$E$26)</f>
        <v>2.2690000000000001</v>
      </c>
      <c r="G3" s="26" cm="1">
        <f t="array" ref="G3">_xll.FDSB(C3,"PCTCHG(FG_YIELD(0,,,,""YTM""),FG_YIELD(-1AM,,,,""YTM""))")</f>
        <v>0.15449060000000001</v>
      </c>
      <c r="H3" s="26" cm="1">
        <f t="array" ref="H3">_xll.FDSB(C3,"PCTCHG(FG_YIELD(0,,,,""YTM""),FG_YIELD(-3AM,,,,""YTM""))")</f>
        <v>0.13681789999999999</v>
      </c>
      <c r="I3" s="26"/>
      <c r="J3" s="26" t="str">
        <f>VLOOKUP(B3,mnemonics!$A$4:$D$73, 4, FALSE)</f>
        <v>REFCNRMB-FDS</v>
      </c>
      <c r="K3" s="26" t="str" cm="1">
        <f t="array" ref="K3">_xll.FDSB(J3,"PROPER_NAME(0,,,""SECURITY"",""NAME"")")</f>
        <v>China Loan Prime Rate (LPR) - 1 Year</v>
      </c>
      <c r="L3" s="26" cm="1">
        <f t="array" ref="L3">_xll.FDSB(J3,"FG_YIELD(NOW,,,0)")</f>
        <v>3.35</v>
      </c>
      <c r="M3" s="36" cm="1">
        <f t="array" ref="M3">_xll.FDSB(J3,"(SUBARRAY(NOT_NA(NO_REPEAT_F(FG_YIELD(now,-10AY,D))),0,1)-SUBARRAY(NOT_NA(NO_REPEAT_F(FG_YIELD(now,-10AY,D))),1,1))*100")</f>
        <v>-10</v>
      </c>
      <c r="N3" s="38">
        <f t="shared" ref="N3:N23" si="0">M3*-1</f>
        <v>10</v>
      </c>
      <c r="S3">
        <f t="shared" ref="S3" si="1">IF(M3&gt; 0, 0, 1)</f>
        <v>1</v>
      </c>
      <c r="T3">
        <f>IF(G3&lt;0, 1, 0)</f>
        <v>0</v>
      </c>
      <c r="U3">
        <f>IF(H3&lt;0, 1, 0)</f>
        <v>0</v>
      </c>
      <c r="V3" s="47">
        <f>SUMPRODUCT($S$1:$U$1,S3:U3)</f>
        <v>0.5</v>
      </c>
      <c r="X3">
        <f t="shared" ref="X3:X23" si="2">_xlfn.PERCENTRANK.EXC($V$3:$V$23,V3)*100</f>
        <v>13.600000000000001</v>
      </c>
    </row>
    <row r="4" spans="1:24" x14ac:dyDescent="0.35">
      <c r="A4" t="s">
        <v>27</v>
      </c>
      <c r="B4" t="s">
        <v>107</v>
      </c>
      <c r="C4" t="s">
        <v>108</v>
      </c>
      <c r="D4" s="26" t="str" cm="1">
        <f t="array" ref="D4">_xll.FDSB(C4,"FG_YIELD_NAME")</f>
        <v>Treasury - Chile Inflation-Indexed (TIPS) Bond 10Y</v>
      </c>
      <c r="E4" s="26" cm="1">
        <f t="array" ref="E4">IFERROR(_xll.FDS(C4,"FG_YIELD(0,,,,""YTM"")"),$E$26)</f>
        <v>2.8277302</v>
      </c>
      <c r="G4" s="26" cm="1">
        <f t="array" ref="G4">_xll.FDSB(C4,"PCTCHG(FG_YIELD(0,,,,""YTM""),FG_YIELD(-1AM,,,,""YTM""))")</f>
        <v>4.9216213</v>
      </c>
      <c r="H4" s="26" cm="1">
        <f t="array" ref="H4">_xll.FDSB(C4,"PCTCHG(FG_YIELD(0,,,,""YTM""),FG_YIELD(-3AM,,,,""YTM""))")</f>
        <v>2.4141195</v>
      </c>
      <c r="I4" s="26"/>
      <c r="J4" s="26" t="str">
        <f>VLOOKUP(B4,mnemonics!$A$4:$D$73, 4, FALSE)</f>
        <v>REFCLMPR-FDS</v>
      </c>
      <c r="K4" s="26" t="str" cm="1">
        <f t="array" ref="K4">_xll.FDSB(J4,"PROPER_NAME(0,,,""SECURITY"",""NAME"")")</f>
        <v>Chile Monetary Policy Rate</v>
      </c>
      <c r="L4" s="26" cm="1">
        <f t="array" ref="L4">_xll.FDSB(J4,"FG_YIELD(NOW,,,0)")</f>
        <v>5.75</v>
      </c>
      <c r="M4" s="36" cm="1">
        <f t="array" ref="M4">_xll.FDSB(J4,"(SUBARRAY(NOT_NA(NO_REPEAT_F(FG_YIELD(now,-10AY,D))),0,1)-SUBARRAY(NOT_NA(NO_REPEAT_F(FG_YIELD(now,-10AY,D))),1,1))*100")</f>
        <v>-25</v>
      </c>
      <c r="N4" s="38">
        <f t="shared" si="0"/>
        <v>25</v>
      </c>
      <c r="S4">
        <f t="shared" ref="S4:S23" si="3">IF(M4&gt; 0, 0, 1)</f>
        <v>1</v>
      </c>
      <c r="T4">
        <f t="shared" ref="T4:T23" si="4">IF(G4&lt;0, 1, 0)</f>
        <v>0</v>
      </c>
      <c r="U4">
        <f t="shared" ref="U4:U23" si="5">IF(H4&lt;0, 1, 0)</f>
        <v>0</v>
      </c>
      <c r="V4" s="47">
        <f t="shared" ref="V4:V23" si="6">SUMPRODUCT($S$1:$U$1,S4:U4)</f>
        <v>0.5</v>
      </c>
      <c r="X4">
        <f t="shared" si="2"/>
        <v>13.600000000000001</v>
      </c>
    </row>
    <row r="5" spans="1:24" x14ac:dyDescent="0.35">
      <c r="A5" t="s">
        <v>35</v>
      </c>
      <c r="B5" t="s">
        <v>124</v>
      </c>
      <c r="C5" t="s">
        <v>147</v>
      </c>
      <c r="D5" s="26" t="str" cm="1">
        <f t="array" ref="D5">_xll.FDSB(C5,"FG_YIELD_NAME")</f>
        <v>Treasury - Indonesia Benchmark Bond 10Y</v>
      </c>
      <c r="E5" s="26" cm="1">
        <f t="array" ref="E5">IFERROR(_xll.FDS(C5,"FG_YIELD(0,,,,""YTM"")"),$E$26)</f>
        <v>6.9440169999999997</v>
      </c>
      <c r="G5" s="26" cm="1">
        <f t="array" ref="G5">_xll.FDSB(C5,"PCTCHG(FG_YIELD(0,,,,""YTM""),FG_YIELD(-1AM,,,,""YTM""))")</f>
        <v>-2.8554094000000001</v>
      </c>
      <c r="H5" s="26" cm="1">
        <f t="array" ref="H5">_xll.FDSB(C5,"PCTCHG(FG_YIELD(0,,,,""YTM""),FG_YIELD(-3AM,,,,""YTM""))")</f>
        <v>-1.5633897000000001</v>
      </c>
      <c r="I5" s="26"/>
      <c r="J5" s="26" t="str">
        <f>VLOOKUP(B5,mnemonics!$A$4:$D$73, 4, FALSE)</f>
        <v>REFIDRREPO-FDS</v>
      </c>
      <c r="K5" s="26" t="str" cm="1">
        <f t="array" ref="K5">_xll.FDSB(J5,"PROPER_NAME(0,,,""SECURITY"",""NAME"")")</f>
        <v>Indonesia BI (Reverse) Repo Rate - 7 Day</v>
      </c>
      <c r="L5" s="26" cm="1">
        <f t="array" ref="L5">_xll.FDSB(J5,"FG_YIELD(NOW,,,0)")</f>
        <v>6.25</v>
      </c>
      <c r="M5" s="36" cm="1">
        <f t="array" ref="M5">_xll.FDSB(J5,"(SUBARRAY(NOT_NA(NO_REPEAT_F(FG_YIELD(now,-10AY,D))),0,1)-SUBARRAY(NOT_NA(NO_REPEAT_F(FG_YIELD(now,-10AY,D))),1,1))*100")</f>
        <v>25</v>
      </c>
      <c r="N5" s="38">
        <f t="shared" si="0"/>
        <v>-25</v>
      </c>
      <c r="S5">
        <f t="shared" si="3"/>
        <v>0</v>
      </c>
      <c r="T5">
        <f t="shared" si="4"/>
        <v>1</v>
      </c>
      <c r="U5">
        <f t="shared" si="5"/>
        <v>1</v>
      </c>
      <c r="V5" s="47">
        <f t="shared" si="6"/>
        <v>0.5</v>
      </c>
      <c r="X5">
        <f t="shared" si="2"/>
        <v>13.600000000000001</v>
      </c>
    </row>
    <row r="6" spans="1:24" x14ac:dyDescent="0.35">
      <c r="A6" t="s">
        <v>30</v>
      </c>
      <c r="B6" t="s">
        <v>117</v>
      </c>
      <c r="C6" t="s">
        <v>143</v>
      </c>
      <c r="D6" s="26" t="str" cm="1">
        <f t="array" ref="D6">_xll.FDSB(C6,"FG_YIELD_NAME")</f>
        <v>Philippines Benchmark Bond - 10 Year</v>
      </c>
      <c r="E6" s="26" cm="1">
        <f t="array" ref="E6">IFERROR(_xll.FDS(C6,"FG_YIELD(0,,,,""YTM"")"),$E$26)</f>
        <v>6.2653040000000004</v>
      </c>
      <c r="G6" s="26" cm="1">
        <f t="array" ref="G6">_xll.FDSB(C6,"PCTCHG(FG_YIELD(0,,,,""YTM""),FG_YIELD(-1AM,,,,""YTM""))")</f>
        <v>-6.5093680000000003</v>
      </c>
      <c r="H6" s="26" cm="1">
        <f t="array" ref="H6">_xll.FDSB(C6,"PCTCHG(FG_YIELD(0,,,,""YTM""),FG_YIELD(-3AM,,,,""YTM""))")</f>
        <v>-9.2132179999999995</v>
      </c>
      <c r="I6" s="26"/>
      <c r="J6" s="26" t="str">
        <f>VLOOKUP(B6,mnemonics!$A$4:$D$73, 4, FALSE)</f>
        <v>REFPHRREPO-FDS</v>
      </c>
      <c r="K6" s="26" t="str" cm="1">
        <f t="array" ref="K6">_xll.FDSB(J6,"PROPER_NAME(0,,,""SECURITY"",""NAME"")")</f>
        <v>Philippines Reverse Repo Rate - Overnight</v>
      </c>
      <c r="L6" s="26" cm="1">
        <f t="array" ref="L6">_xll.FDSB(J6,"FG_YIELD(NOW,,,0)")</f>
        <v>6.5</v>
      </c>
      <c r="M6" s="36" cm="1">
        <f t="array" ref="M6">_xll.FDSB(J6,"(SUBARRAY(NOT_NA(NO_REPEAT_F(FG_YIELD(now,-10AY,D))),0,1)-SUBARRAY(NOT_NA(NO_REPEAT_F(FG_YIELD(now,-10AY,D))),1,1))*100")</f>
        <v>25</v>
      </c>
      <c r="N6" s="38">
        <f t="shared" si="0"/>
        <v>-25</v>
      </c>
      <c r="S6">
        <f t="shared" si="3"/>
        <v>0</v>
      </c>
      <c r="T6">
        <f t="shared" si="4"/>
        <v>1</v>
      </c>
      <c r="U6">
        <f t="shared" si="5"/>
        <v>1</v>
      </c>
      <c r="V6" s="47">
        <f t="shared" si="6"/>
        <v>0.5</v>
      </c>
      <c r="X6">
        <f t="shared" si="2"/>
        <v>13.600000000000001</v>
      </c>
    </row>
    <row r="7" spans="1:24" x14ac:dyDescent="0.35">
      <c r="A7" t="s">
        <v>23</v>
      </c>
      <c r="B7" t="s">
        <v>100</v>
      </c>
      <c r="C7" t="s">
        <v>129</v>
      </c>
      <c r="D7" s="26" t="str" cm="1">
        <f t="array" ref="D7">_xll.FDSB(C7,"FG_YIELD_NAME")</f>
        <v>Treasury - Poland Benchmark Bond 10Y</v>
      </c>
      <c r="E7" s="26" cm="1">
        <f t="array" ref="E7">IFERROR(_xll.FDS(C7,"FG_YIELD(0,,,,""YTM"")"),$E$26)</f>
        <v>5.5731000000000002</v>
      </c>
      <c r="G7" s="26" cm="1">
        <f t="array" ref="G7">_xll.FDSB(C7,"PCTCHG(FG_YIELD(0,,,,""YTM""),FG_YIELD(-1AM,,,,""YTM""))")</f>
        <v>-3.1119053000000001</v>
      </c>
      <c r="H7" s="26" cm="1">
        <f t="array" ref="H7">_xll.FDSB(C7,"PCTCHG(FG_YIELD(0,,,,""YTM""),FG_YIELD(-3AM,,,,""YTM""))")</f>
        <v>-4.6583600000000001</v>
      </c>
      <c r="I7" s="26"/>
      <c r="J7" s="26" t="str">
        <f>VLOOKUP(B7,mnemonics!$A$4:$D$73, 4, FALSE)</f>
        <v>REFPL7D-FDS</v>
      </c>
      <c r="K7" s="26" t="str" cm="1">
        <f t="array" ref="K7">_xll.FDSB(J7,"PROPER_NAME(0,,,""SECURITY"",""NAME"")")</f>
        <v>Poland Reference Rate - 7 Day</v>
      </c>
      <c r="L7" s="26" cm="1">
        <f t="array" ref="L7">_xll.FDSB(J7,"FG_YIELD(NOW,,,0)")</f>
        <v>5.75</v>
      </c>
      <c r="M7" s="36" cm="1">
        <f t="array" ref="M7">_xll.FDSB(J7,"(SUBARRAY(NOT_NA(NO_REPEAT_F(FG_YIELD(now,-10AY,D))),0,1)-SUBARRAY(NOT_NA(NO_REPEAT_F(FG_YIELD(now,-10AY,D))),1,1))*100")</f>
        <v>-25</v>
      </c>
      <c r="N7" s="38">
        <f t="shared" si="0"/>
        <v>25</v>
      </c>
      <c r="S7">
        <f t="shared" si="3"/>
        <v>1</v>
      </c>
      <c r="T7">
        <f t="shared" si="4"/>
        <v>1</v>
      </c>
      <c r="U7">
        <f t="shared" si="5"/>
        <v>1</v>
      </c>
      <c r="V7" s="47">
        <f t="shared" si="6"/>
        <v>1</v>
      </c>
      <c r="X7">
        <f t="shared" si="2"/>
        <v>86.3</v>
      </c>
    </row>
    <row r="8" spans="1:24" x14ac:dyDescent="0.35">
      <c r="A8" t="s">
        <v>29</v>
      </c>
      <c r="B8" t="s">
        <v>112</v>
      </c>
      <c r="C8" t="s">
        <v>137</v>
      </c>
      <c r="D8" s="26" t="str" cm="1">
        <f t="array" ref="D8">_xll.FDSB(C8,"FG_YIELD_NAME")</f>
        <v>Treasury - Peru Benchmark Bond 10Y</v>
      </c>
      <c r="E8" s="26" cm="1">
        <f t="array" ref="E8">IFERROR(_xll.FDS(C8,"FG_YIELD(0,,,,""YTM"")"),$E$26)</f>
        <v>6.9470080000000003</v>
      </c>
      <c r="G8" s="26" cm="1">
        <f t="array" ref="G8">_xll.FDSB(C8,"PCTCHG(FG_YIELD(0,,,,""YTM""),FG_YIELD(-1AM,,,,""YTM""))")</f>
        <v>-2.9241041999999999</v>
      </c>
      <c r="H8" s="26" cm="1">
        <f t="array" ref="H8">_xll.FDSB(C8,"PCTCHG(FG_YIELD(0,,,,""YTM""),FG_YIELD(-3AM,,,,""YTM""))")</f>
        <v>-6.8239483999999999</v>
      </c>
      <c r="I8" s="26"/>
      <c r="J8" s="26" t="str">
        <f>VLOOKUP(B8,mnemonics!$A$4:$D$73, 4, FALSE)</f>
        <v>REFPEMPR-FDS</v>
      </c>
      <c r="K8" s="26" t="str" cm="1">
        <f t="array" ref="K8">_xll.FDSB(J8,"PROPER_NAME(0,,,""SECURITY"",""NAME"")")</f>
        <v>Peru Policy Rate</v>
      </c>
      <c r="L8" s="26" cm="1">
        <f t="array" ref="L8">_xll.FDSB(J8,"FG_YIELD(NOW,,,0)")</f>
        <v>5.75</v>
      </c>
      <c r="M8" s="36" cm="1">
        <f t="array" ref="M8">_xll.FDSB(J8,"(SUBARRAY(NOT_NA(NO_REPEAT_F(FG_YIELD(now,-10AY,D))),0,1)-SUBARRAY(NOT_NA(NO_REPEAT_F(FG_YIELD(now,-10AY,D))),1,1))*100")</f>
        <v>-25</v>
      </c>
      <c r="N8" s="38">
        <f t="shared" si="0"/>
        <v>25</v>
      </c>
      <c r="S8">
        <f t="shared" si="3"/>
        <v>1</v>
      </c>
      <c r="T8">
        <f t="shared" si="4"/>
        <v>1</v>
      </c>
      <c r="U8">
        <f t="shared" si="5"/>
        <v>1</v>
      </c>
      <c r="V8" s="47">
        <f t="shared" si="6"/>
        <v>1</v>
      </c>
      <c r="X8">
        <f t="shared" si="2"/>
        <v>86.3</v>
      </c>
    </row>
    <row r="9" spans="1:24" x14ac:dyDescent="0.35">
      <c r="A9" t="s">
        <v>33</v>
      </c>
      <c r="B9" t="s">
        <v>122</v>
      </c>
      <c r="C9" t="s">
        <v>145</v>
      </c>
      <c r="D9" s="26" t="str" cm="1">
        <f t="array" ref="D9">_xll.FDSB(C9,"FG_YIELD_NAME")</f>
        <v>Treasury - Malaysia Benchmark Bond 10Y</v>
      </c>
      <c r="E9" s="26" cm="1">
        <f t="array" ref="E9">IFERROR(_xll.FDS(C9,"FG_YIELD(0,,,,""YTM"")"),$E$26)</f>
        <v>3.8072539999999999</v>
      </c>
      <c r="G9" s="26" cm="1">
        <f t="array" ref="G9">_xll.FDSB(C9,"PCTCHG(FG_YIELD(0,,,,""YTM""),FG_YIELD(-1AM,,,,""YTM""))")</f>
        <v>-1.5650017000000001</v>
      </c>
      <c r="H9" s="26" cm="1">
        <f t="array" ref="H9">_xll.FDSB(C9,"PCTCHG(FG_YIELD(0,,,,""YTM""),FG_YIELD(-3AM,,,,""YTM""))")</f>
        <v>-4.2314170000000004</v>
      </c>
      <c r="I9" s="26"/>
      <c r="J9" s="26" t="str">
        <f>VLOOKUP(B9,mnemonics!$A$4:$D$73, 4, FALSE)</f>
        <v>REFMYON-FDS</v>
      </c>
      <c r="K9" s="26" t="str" cm="1">
        <f t="array" ref="K9">_xll.FDSB(J9,"PROPER_NAME(0,,,""SECURITY"",""NAME"")")</f>
        <v>Malaysia Policy Rate - Overnight</v>
      </c>
      <c r="L9" s="26" cm="1">
        <f t="array" ref="L9">_xll.FDSB(J9,"FG_YIELD(NOW,,,0)")</f>
        <v>3</v>
      </c>
      <c r="M9" s="36" cm="1">
        <f t="array" ref="M9">_xll.FDSB(J9,"(SUBARRAY(NOT_NA(NO_REPEAT_F(FG_YIELD(now,-10AY,D))),0,1)-SUBARRAY(NOT_NA(NO_REPEAT_F(FG_YIELD(now,-10AY,D))),1,1))*100")</f>
        <v>25</v>
      </c>
      <c r="N9" s="38">
        <f t="shared" si="0"/>
        <v>-25</v>
      </c>
      <c r="S9">
        <f t="shared" si="3"/>
        <v>0</v>
      </c>
      <c r="T9">
        <f t="shared" si="4"/>
        <v>1</v>
      </c>
      <c r="U9">
        <f t="shared" si="5"/>
        <v>1</v>
      </c>
      <c r="V9" s="47">
        <f t="shared" si="6"/>
        <v>0.5</v>
      </c>
      <c r="X9">
        <f t="shared" si="2"/>
        <v>13.600000000000001</v>
      </c>
    </row>
    <row r="10" spans="1:24" x14ac:dyDescent="0.35">
      <c r="A10" t="s">
        <v>24</v>
      </c>
      <c r="B10" t="s">
        <v>103</v>
      </c>
      <c r="C10" t="s">
        <v>131</v>
      </c>
      <c r="D10" s="26" t="str" cm="1">
        <f t="array" ref="D10">_xll.FDSB(C10,"FG_YIELD_NAME")</f>
        <v>Taiwan China Benchmark Bond - 10 Year</v>
      </c>
      <c r="E10" s="26" cm="1">
        <f t="array" ref="E10">IFERROR(_xll.FDS(C10,"FG_YIELD(0,,,,""YTM"")"),$E$26)</f>
        <v>1.66</v>
      </c>
      <c r="G10" s="26" cm="1">
        <f t="array" ref="G10">_xll.FDSB(C10,"PCTCHG(FG_YIELD(0,,,,""YTM""),FG_YIELD(-1AM,,,,""YTM""))")</f>
        <v>-0.87777245000000004</v>
      </c>
      <c r="H10" s="26" cm="1">
        <f t="array" ref="H10">_xll.FDSB(C10,"PCTCHG(FG_YIELD(0,,,,""YTM""),FG_YIELD(-3AM,,,,""YTM""))")</f>
        <v>-0.47961726999999998</v>
      </c>
      <c r="I10" s="26"/>
      <c r="J10" s="26" t="str">
        <f>VLOOKUP(B10,mnemonics!$A$4:$D$73, 4, FALSE)</f>
        <v>REFTWDISC-FDS</v>
      </c>
      <c r="K10" s="26" t="str" cm="1">
        <f t="array" ref="K10">_xll.FDSB(J10,"PROPER_NAME(0,,,""SECURITY"",""NAME"")")</f>
        <v>Taiwan China Discount Rate</v>
      </c>
      <c r="L10" s="26" cm="1">
        <f t="array" ref="L10">_xll.FDSB(J10,"FG_YIELD(NOW,,,0)")</f>
        <v>2</v>
      </c>
      <c r="M10" s="36" cm="1">
        <f t="array" ref="M10">_xll.FDSB(J10,"(SUBARRAY(NOT_NA(NO_REPEAT_F(FG_YIELD(now,-10AY,D))),0,1)-SUBARRAY(NOT_NA(NO_REPEAT_F(FG_YIELD(now,-10AY,D))),1,1))*100")</f>
        <v>12.5</v>
      </c>
      <c r="N10" s="38">
        <f t="shared" si="0"/>
        <v>-12.5</v>
      </c>
      <c r="S10">
        <f t="shared" si="3"/>
        <v>0</v>
      </c>
      <c r="T10">
        <f t="shared" si="4"/>
        <v>1</v>
      </c>
      <c r="U10">
        <f t="shared" si="5"/>
        <v>1</v>
      </c>
      <c r="V10" s="47">
        <f t="shared" si="6"/>
        <v>0.5</v>
      </c>
      <c r="X10">
        <f t="shared" si="2"/>
        <v>13.600000000000001</v>
      </c>
    </row>
    <row r="11" spans="1:24" x14ac:dyDescent="0.35">
      <c r="A11" t="s">
        <v>7</v>
      </c>
      <c r="B11" t="s">
        <v>121</v>
      </c>
      <c r="C11" t="s">
        <v>15</v>
      </c>
      <c r="D11" s="26" t="str" cm="1">
        <f t="array" ref="D11">_xll.FDSB(C11,"FG_YIELD_NAME")</f>
        <v>Treasury - Mexico Benchmark Bond 10Y</v>
      </c>
      <c r="E11" s="26" cm="1">
        <f t="array" ref="E11">IFERROR(_xll.FDS(C11,"FG_YIELD(0,,,,""YTM"")"),$E$26)</f>
        <v>9.9659999999999993</v>
      </c>
      <c r="G11" s="26" cm="1">
        <f t="array" ref="G11">_xll.FDSB(C11,"PCTCHG(FG_YIELD(0,,,,""YTM""),FG_YIELD(-1AM,,,,""YTM""))")</f>
        <v>-0.45945345999999998</v>
      </c>
      <c r="H11" s="26" cm="1">
        <f t="array" ref="H11">_xll.FDSB(C11,"PCTCHG(FG_YIELD(0,,,,""YTM""),FG_YIELD(-3AM,,,,""YTM""))")</f>
        <v>1.1817715</v>
      </c>
      <c r="I11" s="26"/>
      <c r="J11" s="26" t="str">
        <f>VLOOKUP(B11,mnemonics!$A$4:$D$73, 4, FALSE)</f>
        <v>REFMXTON-FDS</v>
      </c>
      <c r="K11" s="26" t="str" cm="1">
        <f t="array" ref="K11">_xll.FDSB(J11,"PROPER_NAME(0,,,""SECURITY"",""NAME"")")</f>
        <v>Mexico Target Rate - Overnight</v>
      </c>
      <c r="L11" s="26" cm="1">
        <f t="array" ref="L11">_xll.FDSB(J11,"FG_YIELD(NOW,,,0)")</f>
        <v>11</v>
      </c>
      <c r="M11" s="36" cm="1">
        <f t="array" ref="M11">_xll.FDSB(J11,"(SUBARRAY(NOT_NA(NO_REPEAT_F(FG_YIELD(now,-10AY,D))),0,1)-SUBARRAY(NOT_NA(NO_REPEAT_F(FG_YIELD(now,-10AY,D))),1,1))*100")</f>
        <v>-25</v>
      </c>
      <c r="N11" s="38">
        <f t="shared" si="0"/>
        <v>25</v>
      </c>
      <c r="S11">
        <f t="shared" si="3"/>
        <v>1</v>
      </c>
      <c r="T11">
        <f t="shared" si="4"/>
        <v>1</v>
      </c>
      <c r="U11">
        <f t="shared" si="5"/>
        <v>0</v>
      </c>
      <c r="V11" s="47">
        <f t="shared" si="6"/>
        <v>0.75</v>
      </c>
      <c r="X11">
        <f t="shared" si="2"/>
        <v>81.8</v>
      </c>
    </row>
    <row r="12" spans="1:24" x14ac:dyDescent="0.35">
      <c r="A12" t="s">
        <v>21</v>
      </c>
      <c r="B12" t="s">
        <v>101</v>
      </c>
      <c r="C12" t="s">
        <v>130</v>
      </c>
      <c r="D12" s="26" t="str" cm="1">
        <f t="array" ref="D12">_xll.FDSB(C12,"FG_YIELD_NAME")</f>
        <v>South Korea Benchmark Bond - 10 Year</v>
      </c>
      <c r="E12" s="26" cm="1">
        <f t="array" ref="E12">IFERROR(_xll.FDS(C12,"FG_YIELD(0,,,,""YTM"")"),$E$26)</f>
        <v>3.1522999999999999</v>
      </c>
      <c r="G12" s="26" cm="1">
        <f t="array" ref="G12">_xll.FDSB(C12,"PCTCHG(FG_YIELD(0,,,,""YTM""),FG_YIELD(-1AM,,,,""YTM""))")</f>
        <v>-3.8082514000000001</v>
      </c>
      <c r="H12" s="26" cm="1">
        <f t="array" ref="H12">_xll.FDSB(C12,"PCTCHG(FG_YIELD(0,,,,""YTM""),FG_YIELD(-3AM,,,,""YTM""))")</f>
        <v>-12.201986</v>
      </c>
      <c r="I12" s="26"/>
      <c r="J12" s="26" t="str">
        <f>VLOOKUP(B12,mnemonics!$A$4:$D$73, 4, FALSE)</f>
        <v>REFKRBASE-FDS</v>
      </c>
      <c r="K12" s="26" t="str" cm="1">
        <f t="array" ref="K12">_xll.FDSB(J12,"PROPER_NAME(0,,,""SECURITY"",""NAME"")")</f>
        <v>South Korea Base Rate</v>
      </c>
      <c r="L12" s="26" cm="1">
        <f t="array" ref="L12">_xll.FDSB(J12,"FG_YIELD(NOW,,,0)")</f>
        <v>3.5</v>
      </c>
      <c r="M12" s="36" cm="1">
        <f t="array" ref="M12">_xll.FDSB(J12,"(SUBARRAY(NOT_NA(NO_REPEAT_F(FG_YIELD(now,-10AY,D))),0,1)-SUBARRAY(NOT_NA(NO_REPEAT_F(FG_YIELD(now,-10AY,D))),1,1))*100")</f>
        <v>25</v>
      </c>
      <c r="N12" s="38">
        <f t="shared" si="0"/>
        <v>-25</v>
      </c>
      <c r="S12">
        <f t="shared" si="3"/>
        <v>0</v>
      </c>
      <c r="T12">
        <f t="shared" si="4"/>
        <v>1</v>
      </c>
      <c r="U12">
        <f t="shared" si="5"/>
        <v>1</v>
      </c>
      <c r="V12" s="47">
        <f t="shared" si="6"/>
        <v>0.5</v>
      </c>
      <c r="X12">
        <f t="shared" si="2"/>
        <v>13.600000000000001</v>
      </c>
    </row>
    <row r="13" spans="1:24" x14ac:dyDescent="0.35">
      <c r="A13" t="s">
        <v>12</v>
      </c>
      <c r="B13" t="s">
        <v>127</v>
      </c>
      <c r="C13" t="s">
        <v>20</v>
      </c>
      <c r="D13" s="26" t="str" cm="1">
        <f t="array" ref="D13">_xll.FDSB(C13,"FG_YIELD_NAME")</f>
        <v>Treasury - Brazil Benchmark Bond 10Y</v>
      </c>
      <c r="E13" s="26" cm="1">
        <f t="array" ref="E13">IFERROR(_xll.FDS(C13,"FG_YIELD(0,,,,""YTM"")"),$E$26)</f>
        <v>12.276152</v>
      </c>
      <c r="G13" s="26" cm="1">
        <f t="array" ref="G13">_xll.FDSB(C13,"PCTCHG(FG_YIELD(0,,,,""YTM""),FG_YIELD(-1AM,,,,""YTM""))")</f>
        <v>0.39672079999999998</v>
      </c>
      <c r="H13" s="26" cm="1">
        <f t="array" ref="H13">_xll.FDSB(C13,"PCTCHG(FG_YIELD(0,,,,""YTM""),FG_YIELD(-3AM,,,,""YTM""))")</f>
        <v>5.3905095999999997</v>
      </c>
      <c r="I13" s="26"/>
      <c r="J13" s="26" t="str">
        <f>VLOOKUP(B13,mnemonics!$A$4:$D$73, 4, FALSE)</f>
        <v>REFBRSELIC-FDS</v>
      </c>
      <c r="K13" s="26" t="str" cm="1">
        <f t="array" ref="K13">_xll.FDSB(J13,"PROPER_NAME(0,,,""SECURITY"",""NAME"")")</f>
        <v>Brazil Target Selic Rate</v>
      </c>
      <c r="L13" s="26" cm="1">
        <f t="array" ref="L13">_xll.FDSB(J13,"FG_YIELD(NOW,,,0)")</f>
        <v>10.5</v>
      </c>
      <c r="M13" s="36" cm="1">
        <f t="array" ref="M13">_xll.FDSB(J13,"(SUBARRAY(NOT_NA(NO_REPEAT_F(FG_YIELD(now,-10AY,D))),0,1)-SUBARRAY(NOT_NA(NO_REPEAT_F(FG_YIELD(now,-10AY,D))),1,1))*100")</f>
        <v>-25</v>
      </c>
      <c r="N13" s="38">
        <f t="shared" si="0"/>
        <v>25</v>
      </c>
      <c r="S13">
        <f t="shared" si="3"/>
        <v>1</v>
      </c>
      <c r="T13">
        <f t="shared" si="4"/>
        <v>0</v>
      </c>
      <c r="U13">
        <f t="shared" si="5"/>
        <v>0</v>
      </c>
      <c r="V13" s="47">
        <f t="shared" si="6"/>
        <v>0.5</v>
      </c>
      <c r="X13">
        <f t="shared" si="2"/>
        <v>13.600000000000001</v>
      </c>
    </row>
    <row r="14" spans="1:24" x14ac:dyDescent="0.35">
      <c r="A14" t="s">
        <v>22</v>
      </c>
      <c r="B14" t="s">
        <v>99</v>
      </c>
      <c r="C14" t="s">
        <v>128</v>
      </c>
      <c r="D14" s="26" t="str" cm="1">
        <f t="array" ref="D14">_xll.FDSB(C14,"FG_YIELD_NAME")</f>
        <v>Treasury - South Africa Benchmark Bond 10Y</v>
      </c>
      <c r="E14" s="26" cm="1">
        <f t="array" ref="E14">IFERROR(_xll.FDS(C14,"FG_YIELD(0,,,,""YTM"")"),$E$26)</f>
        <v>11.040422</v>
      </c>
      <c r="G14" s="26" cm="1">
        <f t="array" ref="G14">_xll.FDSB(C14,"PCTCHG(FG_YIELD(0,,,,""YTM""),FG_YIELD(-1AM,,,,""YTM""))")</f>
        <v>-2.9255360000000001</v>
      </c>
      <c r="H14" s="26" cm="1">
        <f t="array" ref="H14">_xll.FDSB(C14,"PCTCHG(FG_YIELD(0,,,,""YTM""),FG_YIELD(-3AM,,,,""YTM""))")</f>
        <v>-10.700974</v>
      </c>
      <c r="I14" s="26"/>
      <c r="J14" s="26" t="str">
        <f>VLOOKUP(B14,mnemonics!$A$4:$D$73, 4, FALSE)</f>
        <v>REFZAREPO-FDS</v>
      </c>
      <c r="K14" s="26" t="str" cm="1">
        <f t="array" ref="K14">_xll.FDSB(J14,"PROPER_NAME(0,,,""SECURITY"",""NAME"")")</f>
        <v>South Africa Repo Rate</v>
      </c>
      <c r="L14" s="26" cm="1">
        <f t="array" ref="L14">_xll.FDSB(J14,"FG_YIELD(NOW,,,0)")</f>
        <v>8.25</v>
      </c>
      <c r="M14" s="36" cm="1">
        <f t="array" ref="M14">_xll.FDSB(J14,"(SUBARRAY(NOT_NA(NO_REPEAT_F(FG_YIELD(now,-10AY,D))),0,1)-SUBARRAY(NOT_NA(NO_REPEAT_F(FG_YIELD(now,-10AY,D))),1,1))*100")</f>
        <v>50</v>
      </c>
      <c r="N14" s="38">
        <f t="shared" si="0"/>
        <v>-50</v>
      </c>
      <c r="S14">
        <f t="shared" si="3"/>
        <v>0</v>
      </c>
      <c r="T14">
        <f t="shared" si="4"/>
        <v>1</v>
      </c>
      <c r="U14">
        <f t="shared" si="5"/>
        <v>1</v>
      </c>
      <c r="V14" s="47">
        <f t="shared" si="6"/>
        <v>0.5</v>
      </c>
      <c r="X14">
        <f t="shared" si="2"/>
        <v>13.600000000000001</v>
      </c>
    </row>
    <row r="15" spans="1:24" x14ac:dyDescent="0.35">
      <c r="A15" t="s">
        <v>28</v>
      </c>
      <c r="B15" t="s">
        <v>111</v>
      </c>
      <c r="C15" t="s">
        <v>136</v>
      </c>
      <c r="D15" s="26" t="str" cm="1">
        <f t="array" ref="D15">_xll.FDSB(C15,"FG_YIELD_NAME")</f>
        <v>Greece Benchmark Bond - 10 Year</v>
      </c>
      <c r="E15" s="26" cm="1">
        <f t="array" ref="E15">IFERROR(_xll.FDS(C15,"FG_YIELD(0,,,,""YTM"")"),$E$26)</f>
        <v>3.4289999999999998</v>
      </c>
      <c r="G15" s="26" cm="1">
        <f t="array" ref="G15">_xll.FDSB(C15,"PCTCHG(FG_YIELD(0,,,,""YTM""),FG_YIELD(-1AM,,,,""YTM""))")</f>
        <v>-4.5644317000000001</v>
      </c>
      <c r="H15" s="26" cm="1">
        <f t="array" ref="H15">_xll.FDSB(C15,"PCTCHG(FG_YIELD(0,,,,""YTM""),FG_YIELD(-3AM,,,,""YTM""))")</f>
        <v>-3.7338612000000002</v>
      </c>
      <c r="I15" s="26"/>
      <c r="J15" s="26" t="str">
        <f>VLOOKUP(B15,mnemonics!$A$4:$D$73, 4, FALSE)</f>
        <v>REFEUREFI-FDS</v>
      </c>
      <c r="K15" s="26" t="str" cm="1">
        <f t="array" ref="K15">_xll.FDSB(J15,"PROPER_NAME(0,,,""SECURITY"",""NAME"")")</f>
        <v>Eurozone Main Refinancing Operations Minimum Bid Rate</v>
      </c>
      <c r="L15" s="26" cm="1">
        <f t="array" ref="L15">_xll.FDSB(J15,"FG_YIELD(NOW,,,0)")</f>
        <v>4.25</v>
      </c>
      <c r="M15" s="36" cm="1">
        <f t="array" ref="M15">_xll.FDSB(J15,"(SUBARRAY(NOT_NA(NO_REPEAT_F(FG_YIELD(now,-10AY,D))),0,1)-SUBARRAY(NOT_NA(NO_REPEAT_F(FG_YIELD(now,-10AY,D))),1,1))*100")</f>
        <v>-25</v>
      </c>
      <c r="N15" s="38">
        <f t="shared" si="0"/>
        <v>25</v>
      </c>
      <c r="T15">
        <f t="shared" si="4"/>
        <v>1</v>
      </c>
      <c r="U15">
        <f t="shared" si="5"/>
        <v>1</v>
      </c>
      <c r="V15" s="47">
        <f t="shared" si="6"/>
        <v>0.5</v>
      </c>
      <c r="X15">
        <f t="shared" si="2"/>
        <v>13.600000000000001</v>
      </c>
    </row>
    <row r="16" spans="1:24" x14ac:dyDescent="0.35">
      <c r="A16" t="s">
        <v>32</v>
      </c>
      <c r="B16" t="s">
        <v>118</v>
      </c>
      <c r="C16" t="s">
        <v>18</v>
      </c>
      <c r="D16" s="26" t="str" cm="1">
        <f t="array" ref="D16">_xll.FDSB(C16,"FG_YIELD_NAME")</f>
        <v>India Benchmark Bond - 10 Year</v>
      </c>
      <c r="E16" s="26" cm="1">
        <f t="array" ref="E16">IFERROR(_xll.FDS(C16,"FG_YIELD(0,,,,""YTM"")"),$E$26)</f>
        <v>6.9705000000000004</v>
      </c>
      <c r="G16" s="26" cm="1">
        <f t="array" ref="G16">_xll.FDSB(C16,"PCTCHG(FG_YIELD(0,,,,""YTM""),FG_YIELD(-1AM,,,,""YTM""))")</f>
        <v>-1.0364158999999999</v>
      </c>
      <c r="H16" s="26" cm="1">
        <f t="array" ref="H16">_xll.FDSB(C16,"PCTCHG(FG_YIELD(0,,,,""YTM""),FG_YIELD(-3AM,,,,""YTM""))")</f>
        <v>-3.4489931999999999</v>
      </c>
      <c r="I16" s="26"/>
      <c r="J16" s="26" t="str">
        <f>VLOOKUP(B16,mnemonics!$A$4:$D$73, 4, FALSE)</f>
        <v>REFINREPO-FDS</v>
      </c>
      <c r="K16" s="26" t="str" cm="1">
        <f t="array" ref="K16">_xll.FDSB(J16,"PROPER_NAME(0,,,""SECURITY"",""NAME"")")</f>
        <v>India Repo Rate</v>
      </c>
      <c r="L16" s="26" cm="1">
        <f t="array" ref="L16">_xll.FDSB(J16,"FG_YIELD(NOW,,,0)")</f>
        <v>6.5</v>
      </c>
      <c r="M16" s="36" cm="1">
        <f t="array" ref="M16">_xll.FDSB(J16,"(SUBARRAY(NOT_NA(NO_REPEAT_F(FG_YIELD(now,-10AY,D))),0,1)-SUBARRAY(NOT_NA(NO_REPEAT_F(FG_YIELD(now,-10AY,D))),1,1))*100")</f>
        <v>25</v>
      </c>
      <c r="N16" s="38">
        <f t="shared" si="0"/>
        <v>-25</v>
      </c>
      <c r="S16">
        <f t="shared" si="3"/>
        <v>0</v>
      </c>
      <c r="T16">
        <f t="shared" si="4"/>
        <v>1</v>
      </c>
      <c r="U16">
        <f t="shared" si="5"/>
        <v>1</v>
      </c>
      <c r="V16" s="47">
        <f t="shared" si="6"/>
        <v>0.5</v>
      </c>
      <c r="X16">
        <f t="shared" si="2"/>
        <v>13.600000000000001</v>
      </c>
    </row>
    <row r="17" spans="1:24" x14ac:dyDescent="0.35">
      <c r="A17" t="s">
        <v>26</v>
      </c>
      <c r="B17" t="s">
        <v>104</v>
      </c>
      <c r="C17" t="s">
        <v>17</v>
      </c>
      <c r="D17" s="26" t="str" cm="1">
        <f t="array" ref="D17">_xll.FDSB(C17,"FG_YIELD_NAME")</f>
        <v>Treasury - China Benchmark Bond 10Y</v>
      </c>
      <c r="E17" s="26" cm="1">
        <f t="array" ref="E17">IFERROR(_xll.FDS(C17,"FG_YIELD(0,,,,""YTM"")"),$E$26)</f>
        <v>2.2690000000000001</v>
      </c>
      <c r="G17" s="26" cm="1">
        <f t="array" ref="G17">_xll.FDSB(C17,"PCTCHG(FG_YIELD(0,,,,""YTM""),FG_YIELD(-1AM,,,,""YTM""))")</f>
        <v>0.15449060000000001</v>
      </c>
      <c r="H17" s="26" cm="1">
        <f t="array" ref="H17">_xll.FDSB(C17,"PCTCHG(FG_YIELD(0,,,,""YTM""),FG_YIELD(-3AM,,,,""YTM""))")</f>
        <v>0.13681789999999999</v>
      </c>
      <c r="I17" s="26"/>
      <c r="J17" s="26" t="str">
        <f>VLOOKUP(B17,mnemonics!$A$4:$D$73, 4, FALSE)</f>
        <v>REFCNRMB-FDS</v>
      </c>
      <c r="K17" s="26" t="str" cm="1">
        <f t="array" ref="K17">_xll.FDSB(J17,"PROPER_NAME(0,,,""SECURITY"",""NAME"")")</f>
        <v>China Loan Prime Rate (LPR) - 1 Year</v>
      </c>
      <c r="L17" s="26" cm="1">
        <f t="array" ref="L17">_xll.FDSB(J17,"FG_YIELD(NOW,,,0)")</f>
        <v>3.35</v>
      </c>
      <c r="M17" s="36" cm="1">
        <f t="array" ref="M17">_xll.FDSB(J17,"(SUBARRAY(NOT_NA(NO_REPEAT_F(FG_YIELD(now,-10AY,D))),0,1)-SUBARRAY(NOT_NA(NO_REPEAT_F(FG_YIELD(now,-10AY,D))),1,1))*100")</f>
        <v>-10</v>
      </c>
      <c r="N17" s="38">
        <f t="shared" si="0"/>
        <v>10</v>
      </c>
      <c r="S17">
        <f t="shared" si="3"/>
        <v>1</v>
      </c>
      <c r="T17">
        <f t="shared" si="4"/>
        <v>0</v>
      </c>
      <c r="U17">
        <f t="shared" si="5"/>
        <v>0</v>
      </c>
      <c r="V17" s="47">
        <f t="shared" si="6"/>
        <v>0.5</v>
      </c>
      <c r="X17">
        <f t="shared" si="2"/>
        <v>13.600000000000001</v>
      </c>
    </row>
    <row r="18" spans="1:24" x14ac:dyDescent="0.35">
      <c r="A18" t="s">
        <v>31</v>
      </c>
      <c r="B18" t="s">
        <v>120</v>
      </c>
      <c r="C18" t="s">
        <v>144</v>
      </c>
      <c r="D18" s="26" t="str" cm="1">
        <f t="array" ref="D18">_xll.FDSB(C18,"FG_YIELD_NAME")</f>
        <v>Treasury - Qatar Benchmark Bond 10Y</v>
      </c>
      <c r="E18" s="26" cm="1">
        <f t="array" ref="E18">IFERROR(_xll.FDS(C18,"FG_YIELD(0,,,,""YTM"")"),$E$26)</f>
        <v>4.2378999999999998</v>
      </c>
      <c r="G18" s="26" t="str" cm="1">
        <f t="array" ref="G18">_xll.FDSB(C18,"PCTCHG(FG_YIELD(0,,,,""YTM""),FG_YIELD(-1AM,,,,""YTM""))")</f>
        <v/>
      </c>
      <c r="H18" s="26" t="str" cm="1">
        <f t="array" ref="H18">_xll.FDSB(C18,"PCTCHG(FG_YIELD(0,,,,""YTM""),FG_YIELD(-3AM,,,,""YTM""))")</f>
        <v/>
      </c>
      <c r="I18" s="26"/>
      <c r="J18" s="26" t="str">
        <f>VLOOKUP(B18,mnemonics!$A$4:$D$73, 4, FALSE)</f>
        <v>REFQALEND-FDS</v>
      </c>
      <c r="K18" s="26" t="str" cm="1">
        <f t="array" ref="K18">_xll.FDSB(J18,"PROPER_NAME(0,,,""SECURITY"",""NAME"")")</f>
        <v>Qatar Lending Rate - Overnight</v>
      </c>
      <c r="L18" s="26" cm="1">
        <f t="array" ref="L18">_xll.FDSB(J18,"FG_YIELD(NOW,,,0)")</f>
        <v>6.25</v>
      </c>
      <c r="M18" s="36" cm="1">
        <f t="array" ref="M18">_xll.FDSB(J18,"(SUBARRAY(NOT_NA(NO_REPEAT_F(FG_YIELD(now,-10AY,D))),0,1)-SUBARRAY(NOT_NA(NO_REPEAT_F(FG_YIELD(now,-10AY,D))),1,1))*100")</f>
        <v>25</v>
      </c>
      <c r="N18" s="38">
        <f t="shared" si="0"/>
        <v>-25</v>
      </c>
      <c r="S18">
        <f t="shared" si="3"/>
        <v>0</v>
      </c>
      <c r="T18">
        <f t="shared" si="4"/>
        <v>0</v>
      </c>
      <c r="U18">
        <f t="shared" si="5"/>
        <v>0</v>
      </c>
      <c r="V18" s="47">
        <f t="shared" si="6"/>
        <v>0</v>
      </c>
      <c r="X18">
        <f t="shared" si="2"/>
        <v>4.5</v>
      </c>
    </row>
    <row r="19" spans="1:24" x14ac:dyDescent="0.35">
      <c r="A19" t="s">
        <v>757</v>
      </c>
      <c r="B19" t="s">
        <v>220</v>
      </c>
      <c r="C19" t="s">
        <v>453</v>
      </c>
      <c r="D19" s="26" t="str" cm="1">
        <f t="array" ref="D19">_xll.FDSB(C19,"FG_YIELD_NAME")</f>
        <v>Thailand Benchmark Bond - 10 Year</v>
      </c>
      <c r="E19" s="26" cm="1">
        <f t="array" ref="E19">IFERROR(_xll.FDS(C19,"FG_YIELD(0,,,,""YTM"")"),$E$26)</f>
        <v>2.6025999999999998</v>
      </c>
      <c r="G19" s="26" cm="1">
        <f t="array" ref="G19">_xll.FDSB(C19,"PCTCHG(FG_YIELD(0,,,,""YTM""),FG_YIELD(-1AM,,,,""YTM""))")</f>
        <v>-5.9127817</v>
      </c>
      <c r="H19" s="26" cm="1">
        <f t="array" ref="H19">_xll.FDSB(C19,"PCTCHG(FG_YIELD(0,,,,""YTM""),FG_YIELD(-3AM,,,,""YTM""))")</f>
        <v>-4.2192974000000003</v>
      </c>
      <c r="I19" s="26"/>
      <c r="J19" s="26" t="str">
        <f>VLOOKUP(B19,mnemonics!$A$4:$D$73, 4, FALSE)</f>
        <v>REFTHREPO-FDS</v>
      </c>
      <c r="K19" s="26" t="str" cm="1">
        <f t="array" ref="K19">_xll.FDSB(J19,"PROPER_NAME(0,,,""SECURITY"",""NAME"")")</f>
        <v>Thailand Repo Rate - 1 Day</v>
      </c>
      <c r="L19" s="26" cm="1">
        <f t="array" ref="L19">_xll.FDSB(J19,"FG_YIELD(NOW,,,0)")</f>
        <v>2.5</v>
      </c>
      <c r="M19" s="36" cm="1">
        <f t="array" ref="M19">_xll.FDSB(J19,"(SUBARRAY(NOT_NA(NO_REPEAT_F(FG_YIELD(now,-10AY,D))),0,1)-SUBARRAY(NOT_NA(NO_REPEAT_F(FG_YIELD(now,-10AY,D))),1,1))*100")</f>
        <v>25</v>
      </c>
      <c r="N19" s="38">
        <f t="shared" si="0"/>
        <v>-25</v>
      </c>
      <c r="S19">
        <f t="shared" si="3"/>
        <v>0</v>
      </c>
      <c r="T19">
        <f t="shared" si="4"/>
        <v>1</v>
      </c>
      <c r="U19">
        <f t="shared" si="5"/>
        <v>1</v>
      </c>
      <c r="V19" s="47">
        <f t="shared" si="6"/>
        <v>0.5</v>
      </c>
      <c r="X19">
        <f t="shared" si="2"/>
        <v>13.600000000000001</v>
      </c>
    </row>
    <row r="20" spans="1:24" x14ac:dyDescent="0.35">
      <c r="A20" t="s">
        <v>25</v>
      </c>
      <c r="B20" t="s">
        <v>105</v>
      </c>
      <c r="C20" t="s">
        <v>132</v>
      </c>
      <c r="D20" s="26" t="str" cm="1">
        <f t="array" ref="D20">_xll.FDSB(C20,"FG_YIELD_NAME")</f>
        <v>Treasury - Turkey Benchmark Bond 7Y</v>
      </c>
      <c r="E20" s="26" cm="1">
        <f t="array" ref="E20">IFERROR(_xll.FDS(C20,"FG_YIELD(0,,,,""YTM"")"),$E$26)</f>
        <v>23.925453000000001</v>
      </c>
      <c r="G20" s="26" cm="1">
        <f t="array" ref="G20">_xll.FDSB(C20,"PCTCHG(FG_YIELD(0,,,,""YTM""),FG_YIELD(-1AM,,,,""YTM""))")</f>
        <v>-5.4310989999999997</v>
      </c>
      <c r="H20" s="26" cm="1">
        <f t="array" ref="H20">_xll.FDSB(C20,"PCTCHG(FG_YIELD(0,,,,""YTM""),FG_YIELD(-3AM,,,,""YTM""))")</f>
        <v>-0.19749929999999999</v>
      </c>
      <c r="I20" s="26"/>
      <c r="J20" s="26" t="str">
        <f>VLOOKUP(B20,mnemonics!$A$4:$D$73, 4, FALSE)</f>
        <v>REFTR1WREPO-FDS</v>
      </c>
      <c r="K20" s="26" t="str" cm="1">
        <f t="array" ref="K20">_xll.FDSB(J20,"PROPER_NAME(0,,,""SECURITY"",""NAME"")")</f>
        <v>Turkey Repo Rate - 1 Week</v>
      </c>
      <c r="L20" s="26" cm="1">
        <f t="array" ref="L20">_xll.FDSB(J20,"FG_YIELD(NOW,,,0)")</f>
        <v>50</v>
      </c>
      <c r="M20" s="36" cm="1">
        <f t="array" ref="M20">_xll.FDSB(J20,"(SUBARRAY(NOT_NA(NO_REPEAT_F(FG_YIELD(now,-10AY,D))),0,1)-SUBARRAY(NOT_NA(NO_REPEAT_F(FG_YIELD(now,-10AY,D))),1,1))*100")</f>
        <v>500</v>
      </c>
      <c r="N20" s="38">
        <f t="shared" si="0"/>
        <v>-500</v>
      </c>
      <c r="S20">
        <f t="shared" si="3"/>
        <v>0</v>
      </c>
      <c r="T20">
        <f t="shared" si="4"/>
        <v>1</v>
      </c>
      <c r="U20">
        <f t="shared" si="5"/>
        <v>1</v>
      </c>
      <c r="V20" s="47">
        <f t="shared" si="6"/>
        <v>0.5</v>
      </c>
      <c r="X20">
        <f t="shared" si="2"/>
        <v>13.600000000000001</v>
      </c>
    </row>
    <row r="21" spans="1:24" x14ac:dyDescent="0.35">
      <c r="A21" t="s">
        <v>34</v>
      </c>
      <c r="B21" t="s">
        <v>123</v>
      </c>
      <c r="C21" t="s">
        <v>146</v>
      </c>
      <c r="D21" s="26" t="str" cm="1">
        <f t="array" ref="D21">_xll.FDSB(C21,"FG_YIELD_NAME")</f>
        <v>Treasury - United Arab Emirates USD Benchmark Bond 10Y</v>
      </c>
      <c r="E21" s="26" cm="1">
        <f t="array" ref="E21">IFERROR(_xll.FDS(C21,"FG_YIELD(0,,,,""YTM"")"),$E$26)</f>
        <v>4.2378999999999998</v>
      </c>
      <c r="G21" s="26" t="str" cm="1">
        <f t="array" ref="G21">_xll.FDSB(C21,"PCTCHG(FG_YIELD(0,,,,""YTM""),FG_YIELD(-1AM,,,,""YTM""))")</f>
        <v/>
      </c>
      <c r="H21" s="26" t="str" cm="1">
        <f t="array" ref="H21">_xll.FDSB(C21,"PCTCHG(FG_YIELD(0,,,,""YTM""),FG_YIELD(-3AM,,,,""YTM""))")</f>
        <v/>
      </c>
      <c r="I21" s="26"/>
      <c r="J21" s="26" t="str">
        <f>VLOOKUP(B21,mnemonics!$A$4:$D$73, 4, FALSE)</f>
        <v>REFAEREPO-FDS</v>
      </c>
      <c r="K21" s="26" t="str" cm="1">
        <f t="array" ref="K21">_xll.FDSB(J21,"PROPER_NAME(0,,,""SECURITY"",""NAME"")")</f>
        <v>United Arab Emirates Repo Rate</v>
      </c>
      <c r="L21" s="26" cm="1">
        <f t="array" ref="L21">_xll.FDSB(J21,"FG_YIELD(NOW,,,0)")</f>
        <v>5.4</v>
      </c>
      <c r="M21" s="36" cm="1">
        <f t="array" ref="M21">_xll.FDSB(J21,"(SUBARRAY(NOT_NA(NO_REPEAT_F(FG_YIELD(now,-10AY,D))),0,1)-SUBARRAY(NOT_NA(NO_REPEAT_F(FG_YIELD(now,-10AY,D))),1,1))*100")</f>
        <v>25</v>
      </c>
      <c r="N21" s="38">
        <f t="shared" si="0"/>
        <v>-25</v>
      </c>
      <c r="S21">
        <f t="shared" si="3"/>
        <v>0</v>
      </c>
      <c r="T21">
        <f t="shared" si="4"/>
        <v>0</v>
      </c>
      <c r="U21">
        <f t="shared" si="5"/>
        <v>0</v>
      </c>
      <c r="V21" s="47">
        <f t="shared" si="6"/>
        <v>0</v>
      </c>
      <c r="X21">
        <f t="shared" si="2"/>
        <v>4.5</v>
      </c>
    </row>
    <row r="22" spans="1:24" x14ac:dyDescent="0.35">
      <c r="A22" t="s">
        <v>37</v>
      </c>
      <c r="B22" t="s">
        <v>126</v>
      </c>
      <c r="C22" t="s">
        <v>149</v>
      </c>
      <c r="D22" s="26" t="str" cm="1">
        <f t="array" ref="D22">_xll.FDSB(C22,"FG_YIELD_NAME")</f>
        <v>Treasury - Vietnam Benchmark Bond 10Y</v>
      </c>
      <c r="E22" s="26" cm="1">
        <f t="array" ref="E22">IFERROR(_xll.FDS(C22,"FG_YIELD(0,,,,""YTM"")"),$E$26)</f>
        <v>2.7215104000000001</v>
      </c>
      <c r="G22" s="26" cm="1">
        <f t="array" ref="G22">_xll.FDSB(C22,"PCTCHG(FG_YIELD(0,,,,""YTM""),FG_YIELD(-1AM,,,,""YTM""))")</f>
        <v>-0.15009621000000001</v>
      </c>
      <c r="H22" s="26" cm="1">
        <f t="array" ref="H22">_xll.FDSB(C22,"PCTCHG(FG_YIELD(0,,,,""YTM""),FG_YIELD(-3AM,,,,""YTM""))")</f>
        <v>-2.2608077999999998</v>
      </c>
      <c r="I22" s="26"/>
      <c r="J22" s="26" t="str">
        <f>VLOOKUP(B22,mnemonics!$A$4:$D$73, 4, FALSE)</f>
        <v>REFVNDISC-FDS</v>
      </c>
      <c r="K22" s="26" t="str" cm="1">
        <f t="array" ref="K22">_xll.FDSB(J22,"PROPER_NAME(0,,,""SECURITY"",""NAME"")")</f>
        <v>Vietnam Discount Rate</v>
      </c>
      <c r="L22" s="26" cm="1">
        <f t="array" ref="L22">_xll.FDSB(J22,"FG_YIELD(NOW,,,0)")</f>
        <v>3</v>
      </c>
      <c r="M22" s="36" cm="1">
        <f t="array" ref="M22">_xll.FDSB(J22,"(SUBARRAY(NOT_NA(NO_REPEAT_F(FG_YIELD(now,-10AY,D))),0,1)-SUBARRAY(NOT_NA(NO_REPEAT_F(FG_YIELD(now,-10AY,D))),1,1))*100")</f>
        <v>-50</v>
      </c>
      <c r="N22" s="38">
        <f t="shared" si="0"/>
        <v>50</v>
      </c>
      <c r="S22">
        <f t="shared" si="3"/>
        <v>1</v>
      </c>
      <c r="T22">
        <f t="shared" si="4"/>
        <v>1</v>
      </c>
      <c r="U22">
        <f t="shared" si="5"/>
        <v>1</v>
      </c>
      <c r="V22" s="47">
        <f t="shared" si="6"/>
        <v>1</v>
      </c>
      <c r="X22">
        <f t="shared" si="2"/>
        <v>86.3</v>
      </c>
    </row>
    <row r="23" spans="1:24" x14ac:dyDescent="0.35">
      <c r="A23" t="s">
        <v>36</v>
      </c>
      <c r="B23" t="s">
        <v>125</v>
      </c>
      <c r="C23" t="s">
        <v>148</v>
      </c>
      <c r="D23" s="26" t="str" cm="1">
        <f t="array" ref="D23">_xll.FDSB(C23,"FG_YIELD_NAME")</f>
        <v>Treasury - SAUDI ARABIA Benchmark Bond 10Y</v>
      </c>
      <c r="E23" s="26" cm="1">
        <f t="array" ref="E23">IFERROR(_xll.FDS(C23,"FG_YIELD(0,,,,""YTM"")"),$E$26)</f>
        <v>5.0752959999999998</v>
      </c>
      <c r="G23" s="26" cm="1">
        <f t="array" ref="G23">_xll.FDSB(C23,"PCTCHG(FG_YIELD(0,,,,""YTM""),FG_YIELD(-1AM,,,,""YTM""))")</f>
        <v>-1.0375392000000001</v>
      </c>
      <c r="H23" s="26" cm="1">
        <f t="array" ref="H23">_xll.FDSB(C23,"PCTCHG(FG_YIELD(0,,,,""YTM""),FG_YIELD(-3AM,,,,""YTM""))")</f>
        <v>-8.0392480000000006</v>
      </c>
      <c r="I23" s="26"/>
      <c r="J23" s="26" t="str">
        <f>VLOOKUP(B23,mnemonics!$A$4:$D$73, 4, FALSE)</f>
        <v>REFSAREPO-FDS</v>
      </c>
      <c r="K23" s="26" t="str" cm="1">
        <f t="array" ref="K23">_xll.FDSB(J23,"PROPER_NAME(0,,,""SECURITY"",""NAME"")")</f>
        <v>Saudi Arabia Repo Rate</v>
      </c>
      <c r="L23" s="26" cm="1">
        <f t="array" ref="L23">_xll.FDSB(J23,"FG_YIELD(NOW,,,0)")</f>
        <v>6</v>
      </c>
      <c r="M23" s="36" cm="1">
        <f t="array" ref="M23">_xll.FDSB(J23,"(SUBARRAY(NOT_NA(NO_REPEAT_F(FG_YIELD(now,-10AY,D))),0,1)-SUBARRAY(NOT_NA(NO_REPEAT_F(FG_YIELD(now,-10AY,D))),1,1))*100")</f>
        <v>25</v>
      </c>
      <c r="N23" s="38">
        <f t="shared" si="0"/>
        <v>-25</v>
      </c>
      <c r="S23">
        <f t="shared" si="3"/>
        <v>0</v>
      </c>
      <c r="T23">
        <f t="shared" si="4"/>
        <v>1</v>
      </c>
      <c r="U23">
        <f t="shared" si="5"/>
        <v>1</v>
      </c>
      <c r="V23" s="47">
        <f t="shared" si="6"/>
        <v>0.5</v>
      </c>
      <c r="X23">
        <f t="shared" si="2"/>
        <v>13.600000000000001</v>
      </c>
    </row>
    <row r="24" spans="1:24" x14ac:dyDescent="0.35">
      <c r="D24" s="26"/>
      <c r="E24" s="26"/>
      <c r="G24" s="26"/>
      <c r="H24" s="26"/>
      <c r="J24" s="26"/>
      <c r="K24" s="26"/>
      <c r="L24" s="26"/>
      <c r="M24" s="36"/>
      <c r="N24" s="38"/>
      <c r="V24" s="52"/>
    </row>
    <row r="25" spans="1:24" x14ac:dyDescent="0.35">
      <c r="D25" s="26"/>
      <c r="E25" s="26"/>
      <c r="G25" s="26"/>
      <c r="H25" s="26"/>
      <c r="J25" s="26"/>
      <c r="K25" s="26"/>
      <c r="L25" s="26"/>
      <c r="M25" s="36"/>
      <c r="N25" s="38"/>
      <c r="V25" s="52"/>
    </row>
    <row r="26" spans="1:24" x14ac:dyDescent="0.35">
      <c r="A26" t="s">
        <v>1</v>
      </c>
      <c r="B26" t="s">
        <v>119</v>
      </c>
      <c r="C26" t="s">
        <v>14</v>
      </c>
      <c r="D26" s="26" t="str" cm="1">
        <f t="array" ref="D26">_xll.FDSB(C26,"FG_YIELD_NAME")</f>
        <v>US Benchmark Bond - 10 Year</v>
      </c>
      <c r="E26" s="26" cm="1">
        <f t="array" ref="E26">IFERROR(_xll.FDS(C26,"FG_YIELD(0,,,,""YTM"")"),E55)</f>
        <v>4.2378999999999998</v>
      </c>
      <c r="G26" s="26"/>
      <c r="H26" s="26"/>
      <c r="J26" s="26"/>
      <c r="K26" s="26"/>
      <c r="L26" s="26"/>
      <c r="M26" s="36"/>
      <c r="N26" s="38"/>
      <c r="V26" s="52"/>
    </row>
    <row r="27" spans="1:24" x14ac:dyDescent="0.35">
      <c r="D27" s="26"/>
      <c r="E27" s="26"/>
      <c r="G27" s="26"/>
      <c r="H27" s="26"/>
      <c r="J27" s="26"/>
      <c r="K27" s="26"/>
      <c r="L27" s="26"/>
      <c r="M27" s="36"/>
      <c r="N27" s="38"/>
      <c r="V27" s="52"/>
    </row>
    <row r="28" spans="1:24" x14ac:dyDescent="0.35">
      <c r="D28" s="26"/>
      <c r="E28" s="26"/>
      <c r="G28" s="26"/>
      <c r="H28" s="26"/>
      <c r="J28" s="26"/>
      <c r="K28" s="26"/>
      <c r="L28" s="26"/>
      <c r="M28" s="36"/>
      <c r="N28" s="38"/>
      <c r="V28" s="52"/>
    </row>
    <row r="29" spans="1:24" x14ac:dyDescent="0.35">
      <c r="D29" s="26"/>
      <c r="E29" s="26"/>
      <c r="G29" s="26"/>
      <c r="H29" s="26"/>
      <c r="J29" s="26"/>
      <c r="K29" s="26"/>
      <c r="L29" s="26"/>
      <c r="M29" s="36"/>
      <c r="N29" s="38"/>
      <c r="V29" s="52"/>
    </row>
    <row r="30" spans="1:24" x14ac:dyDescent="0.35">
      <c r="D30" s="26"/>
      <c r="E30" s="26"/>
      <c r="G30" s="26"/>
      <c r="H30" s="26"/>
      <c r="J30" s="26"/>
      <c r="K30" s="26"/>
      <c r="L30" s="26"/>
      <c r="M30" s="36"/>
      <c r="N30" s="38"/>
      <c r="V30" s="52"/>
    </row>
    <row r="35" spans="1:8" ht="18.5" x14ac:dyDescent="0.45">
      <c r="A35" s="34"/>
      <c r="B35" s="35"/>
      <c r="C35" s="35"/>
      <c r="D35" s="35"/>
      <c r="E35" s="35"/>
      <c r="F35" s="35"/>
      <c r="G35" s="35"/>
      <c r="H35" s="35"/>
    </row>
    <row r="42" spans="1:8" x14ac:dyDescent="0.35">
      <c r="C42" s="1"/>
      <c r="D42" s="1"/>
      <c r="E42" s="1"/>
      <c r="F42" s="1"/>
    </row>
    <row r="43" spans="1:8" x14ac:dyDescent="0.35">
      <c r="C43" s="1"/>
      <c r="D43" s="1"/>
      <c r="E43" s="1"/>
      <c r="F43" s="1"/>
    </row>
    <row r="44" spans="1:8" x14ac:dyDescent="0.35">
      <c r="C44" s="1"/>
      <c r="D44" s="1"/>
      <c r="E44" s="1"/>
      <c r="F44" s="1"/>
    </row>
    <row r="63" spans="3:6" x14ac:dyDescent="0.35">
      <c r="C63" s="1"/>
      <c r="D63" s="1"/>
      <c r="E63" s="1"/>
      <c r="F63" s="1"/>
    </row>
    <row r="79" spans="4:6" x14ac:dyDescent="0.35">
      <c r="D79" s="1"/>
      <c r="E79" s="1"/>
      <c r="F79" s="1"/>
    </row>
  </sheetData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4CEC8C64-1FC2-4C2A-A24E-B32B6F8FDCDC}">
            <x14:iconSet iconSet="3Arrows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25</xm:f>
              </x14:cfvo>
              <x14:cfIcon iconSet="3Arrows" iconId="0"/>
              <x14:cfIcon iconSet="3Arrows" iconId="2"/>
              <x14:cfIcon iconSet="3Arrows" iconId="2"/>
            </x14:iconSet>
          </x14:cfRule>
          <xm:sqref>N3:N30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3EC6B-6F25-4D08-A3D6-333E82FBCB4A}">
  <dimension ref="A1:S22"/>
  <sheetViews>
    <sheetView workbookViewId="0">
      <selection activeCell="K7" sqref="K7"/>
    </sheetView>
  </sheetViews>
  <sheetFormatPr defaultRowHeight="14.5" x14ac:dyDescent="0.35"/>
  <cols>
    <col min="1" max="1" width="19.81640625" customWidth="1"/>
    <col min="2" max="2" width="5.54296875" bestFit="1" customWidth="1"/>
    <col min="3" max="3" width="12.1796875" bestFit="1" customWidth="1"/>
    <col min="4" max="4" width="14.453125" customWidth="1"/>
    <col min="5" max="5" width="27.453125" bestFit="1" customWidth="1"/>
    <col min="6" max="6" width="17.453125" customWidth="1"/>
    <col min="7" max="7" width="12" bestFit="1" customWidth="1"/>
    <col min="8" max="8" width="17.54296875" customWidth="1"/>
    <col min="9" max="9" width="26.81640625" bestFit="1" customWidth="1"/>
    <col min="10" max="10" width="20.54296875" customWidth="1"/>
    <col min="11" max="11" width="17.81640625" style="77" customWidth="1"/>
    <col min="12" max="13" width="15.1796875" customWidth="1"/>
    <col min="14" max="14" width="11.453125" customWidth="1"/>
    <col min="15" max="15" width="20" customWidth="1"/>
    <col min="16" max="16" width="15.453125" customWidth="1"/>
    <col min="17" max="17" width="17.453125" customWidth="1"/>
    <col min="18" max="18" width="14.1796875" customWidth="1"/>
    <col min="19" max="19" width="11.1796875" customWidth="1"/>
  </cols>
  <sheetData>
    <row r="1" spans="1:19" ht="29" x14ac:dyDescent="0.35">
      <c r="A1" s="74" t="s">
        <v>542</v>
      </c>
      <c r="B1" s="74" t="s">
        <v>529</v>
      </c>
      <c r="C1" s="74" t="s">
        <v>530</v>
      </c>
      <c r="D1" s="74" t="s">
        <v>96</v>
      </c>
      <c r="E1" s="74" t="s">
        <v>97</v>
      </c>
      <c r="F1" s="74" t="s">
        <v>98</v>
      </c>
      <c r="G1" s="78" t="s">
        <v>380</v>
      </c>
      <c r="H1" s="78" t="s">
        <v>410</v>
      </c>
      <c r="I1" s="78" t="s">
        <v>540</v>
      </c>
      <c r="J1" s="78" t="s">
        <v>543</v>
      </c>
      <c r="K1" s="79" t="s">
        <v>748</v>
      </c>
      <c r="L1" s="78" t="s">
        <v>539</v>
      </c>
      <c r="M1" s="78" t="s">
        <v>551</v>
      </c>
      <c r="N1" s="74" t="s">
        <v>746</v>
      </c>
      <c r="O1" s="74" t="s">
        <v>747</v>
      </c>
      <c r="P1" s="74" t="s">
        <v>749</v>
      </c>
      <c r="Q1" s="74" t="s">
        <v>544</v>
      </c>
      <c r="R1" s="74" t="s">
        <v>545</v>
      </c>
      <c r="S1" s="74" t="s">
        <v>553</v>
      </c>
    </row>
    <row r="2" spans="1:19" x14ac:dyDescent="0.35">
      <c r="A2" t="s">
        <v>432</v>
      </c>
      <c r="B2" t="s">
        <v>432</v>
      </c>
      <c r="C2" t="s">
        <v>435</v>
      </c>
      <c r="D2" t="s">
        <v>104</v>
      </c>
      <c r="E2" t="s">
        <v>17</v>
      </c>
      <c r="F2" t="str" cm="1">
        <f t="array" ref="F2">_xll.FDS(E2,"FG_YIELD_NAME")</f>
        <v>Treasury - China Benchmark Bond 10Y</v>
      </c>
      <c r="G2">
        <f>VLOOKUP(A2,'LIQIDITY 2'!$A$3:$E$26,5,FALSE)</f>
        <v>2.2690000000000001</v>
      </c>
      <c r="H2" cm="1">
        <f t="array" ref="H2">_xll.FDS(B2,"FG_ROE(0)")</f>
        <v>10.0106182287452</v>
      </c>
      <c r="I2">
        <f>HLOOKUP(B2,'Index ROE'!$B$1:$V$25,24,FALSE)</f>
        <v>13.1105501070682</v>
      </c>
      <c r="J2" cm="1">
        <f t="array" ref="J2">_xll.FDS(B2, "FMA_RBICS_REV_CURRENT(30, LOC, ""PORTAGG"")")</f>
        <v>20.828273971965</v>
      </c>
      <c r="K2" s="77">
        <f>HLOOKUP(B2,'Index earnings'!$A$1:$V$26,26,FALSE)</f>
        <v>7.2152115954511764E-2</v>
      </c>
      <c r="L2">
        <f>HLOOKUP(B2,'Yearly returns'!$B$1:$V$128,126,FALSE)</f>
        <v>-31.092093999999999</v>
      </c>
      <c r="M2">
        <f>I2-G2</f>
        <v>10.841550107068199</v>
      </c>
      <c r="N2" cm="1">
        <f t="array" ref="N2">_xlfn.PERCENTRANK.EXC(_xlfn._xlws.FILTER(M$2:M$22, ISNUMBER(M$2:M$22)),M2)*100</f>
        <v>90.9</v>
      </c>
      <c r="O2" cm="1">
        <f t="array" ref="O2">(1-_xlfn.PERCENTRANK.EXC(_xlfn._xlws.FILTER(J$2:J$22, ISNUMBER(J$2:J$22)),J2))*100</f>
        <v>86.4</v>
      </c>
      <c r="P2" cm="1">
        <f t="array" ref="P2">_xlfn.PERCENTRANK.EXC(_xlfn._xlws.FILTER(K$2:K$22, ISNUMBER(K$2:K$22)),K2)*100</f>
        <v>86.3</v>
      </c>
      <c r="Q2" cm="1">
        <f t="array" ref="Q2">_xlfn.PERCENTRANK.EXC(_xlfn._xlws.FILTER(L$2:L$22, ISNUMBER(L$2:L$22)),L2)*100</f>
        <v>86.3</v>
      </c>
      <c r="R2">
        <f>N2*Assumption!$F$64 + O2*Assumption!$F$61 + P2*Assumption!$F$62 + Q2*Assumption!$F$63</f>
        <v>87.475000000000009</v>
      </c>
      <c r="S2" cm="1">
        <f t="array" ref="S2">_xlfn.PERCENTRANK.EXC(_xlfn._xlws.FILTER(R$2:R$22, ISNUMBER(R$2:R$22)),R2)*100</f>
        <v>95.399999999999991</v>
      </c>
    </row>
    <row r="3" spans="1:19" x14ac:dyDescent="0.35">
      <c r="A3" t="s">
        <v>27</v>
      </c>
      <c r="B3" t="s">
        <v>27</v>
      </c>
      <c r="C3" t="s">
        <v>436</v>
      </c>
      <c r="D3" t="s">
        <v>107</v>
      </c>
      <c r="E3" t="s">
        <v>108</v>
      </c>
      <c r="F3" t="str" cm="1">
        <f t="array" ref="F3">_xll.FDS(E3,"FG_YIELD_NAME")</f>
        <v>Treasury - Chile Inflation-Indexed (TIPS) Bond 10Y</v>
      </c>
      <c r="G3">
        <f>VLOOKUP(A3,'LIQIDITY 2'!$A$3:$E$26,5,FALSE)</f>
        <v>2.8277302</v>
      </c>
      <c r="H3" cm="1">
        <f t="array" ref="H3">_xll.FDS(B3,"FG_ROE(0)")</f>
        <v>8.1026862167685394</v>
      </c>
      <c r="I3">
        <f>HLOOKUP(B3,'Index ROE'!$B$1:$V$25,24,FALSE)</f>
        <v>11.2778516938703</v>
      </c>
      <c r="J3" cm="1">
        <f t="array" ref="J3">_xll.FDS(B3, "FMA_RBICS_REV_CURRENT(30, LOC, ""PORTAGG"")")</f>
        <v>33.031985437669697</v>
      </c>
      <c r="K3" s="77">
        <f>HLOOKUP(B3,'Index earnings'!$A$1:$V$26,26,FALSE)</f>
        <v>3.8685246344349222E-2</v>
      </c>
      <c r="L3">
        <f>HLOOKUP(B3,'Yearly returns'!$B$1:$V$128,126,FALSE)</f>
        <v>-55.930720000000001</v>
      </c>
      <c r="M3">
        <f t="shared" ref="M3:M22" si="0">I3-G3</f>
        <v>8.4501214938703004</v>
      </c>
      <c r="N3" cm="1">
        <f t="array" ref="N3">_xlfn.PERCENTRANK.EXC(_xlfn._xlws.FILTER(M$2:M$22, ISNUMBER(M$2:M$22)),M3)*100</f>
        <v>63.6</v>
      </c>
      <c r="O3" cm="1">
        <f t="array" ref="O3">(1-_xlfn.PERCENTRANK.EXC(_xlfn._xlws.FILTER(J$2:J$22, ISNUMBER(J$2:J$22)),J3))*100</f>
        <v>50</v>
      </c>
      <c r="P3" cm="1">
        <f t="array" ref="P3">_xlfn.PERCENTRANK.EXC(_xlfn._xlws.FILTER(K$2:K$22, ISNUMBER(K$2:K$22)),K3)*100</f>
        <v>63.6</v>
      </c>
      <c r="Q3" cm="1">
        <f t="array" ref="Q3">_xlfn.PERCENTRANK.EXC(_xlfn._xlws.FILTER(L$2:L$22, ISNUMBER(L$2:L$22)),L3)*100</f>
        <v>9</v>
      </c>
      <c r="R3">
        <f>N3*Assumption!$F$64 + O3*Assumption!$F$61 + P3*Assumption!$F$62 + Q3*Assumption!$F$63</f>
        <v>46.55</v>
      </c>
      <c r="S3" cm="1">
        <f t="array" ref="S3">_xlfn.PERCENTRANK.EXC(_xlfn._xlws.FILTER(R$2:R$22, ISNUMBER(R$2:R$22)),R3)*100</f>
        <v>45.4</v>
      </c>
    </row>
    <row r="4" spans="1:19" x14ac:dyDescent="0.35">
      <c r="A4" t="s">
        <v>35</v>
      </c>
      <c r="B4" t="s">
        <v>35</v>
      </c>
      <c r="C4" t="s">
        <v>437</v>
      </c>
      <c r="D4" t="s">
        <v>124</v>
      </c>
      <c r="E4" t="s">
        <v>147</v>
      </c>
      <c r="F4" t="str" cm="1">
        <f t="array" ref="F4">_xll.FDS(E4,"FG_YIELD_NAME")</f>
        <v>Treasury - Indonesia Benchmark Bond 10Y</v>
      </c>
      <c r="G4">
        <f>VLOOKUP(A4,'LIQIDITY 2'!$A$3:$E$26,5,FALSE)</f>
        <v>6.9440169999999997</v>
      </c>
      <c r="H4" cm="1">
        <f t="array" ref="H4">_xll.FDS(B4,"FG_ROE(0)")</f>
        <v>12.817579639175699</v>
      </c>
      <c r="I4">
        <f>HLOOKUP(B4,'Index ROE'!$B$1:$V$25,24,FALSE)</f>
        <v>15.657517511443299</v>
      </c>
      <c r="J4" cm="1">
        <f t="array" ref="J4">_xll.FDS(B4, "FMA_RBICS_REV_CURRENT(30, LOC, ""PORTAGG"")")</f>
        <v>54.307261249485101</v>
      </c>
      <c r="K4" s="77">
        <f>HLOOKUP(B4,'Index earnings'!$A$1:$V$26,26,FALSE)</f>
        <v>4.2932911182906208E-2</v>
      </c>
      <c r="L4">
        <f>HLOOKUP(B4,'Yearly returns'!$B$1:$V$128,126,FALSE)</f>
        <v>-48.215229999999998</v>
      </c>
      <c r="M4">
        <f t="shared" si="0"/>
        <v>8.7135005114433</v>
      </c>
      <c r="N4" cm="1">
        <f t="array" ref="N4">_xlfn.PERCENTRANK.EXC(_xlfn._xlws.FILTER(M$2:M$22, ISNUMBER(M$2:M$22)),M4)*100</f>
        <v>72.7</v>
      </c>
      <c r="O4" cm="1">
        <f t="array" ref="O4">(1-_xlfn.PERCENTRANK.EXC(_xlfn._xlws.FILTER(J$2:J$22, ISNUMBER(J$2:J$22)),J4))*100</f>
        <v>18.200000000000006</v>
      </c>
      <c r="P4" cm="1">
        <f t="array" ref="P4">_xlfn.PERCENTRANK.EXC(_xlfn._xlws.FILTER(K$2:K$22, ISNUMBER(K$2:K$22)),K4)*100</f>
        <v>68.100000000000009</v>
      </c>
      <c r="Q4" cm="1">
        <f t="array" ref="Q4">_xlfn.PERCENTRANK.EXC(_xlfn._xlws.FILTER(L$2:L$22, ISNUMBER(L$2:L$22)),L4)*100</f>
        <v>27.200000000000003</v>
      </c>
      <c r="R4">
        <f>N4*Assumption!$F$64 + O4*Assumption!$F$61 + P4*Assumption!$F$62 + Q4*Assumption!$F$63</f>
        <v>46.55</v>
      </c>
      <c r="S4" cm="1">
        <f t="array" ref="S4">_xlfn.PERCENTRANK.EXC(_xlfn._xlws.FILTER(R$2:R$22, ISNUMBER(R$2:R$22)),R4)*100</f>
        <v>45.4</v>
      </c>
    </row>
    <row r="5" spans="1:19" x14ac:dyDescent="0.35">
      <c r="A5" t="s">
        <v>30</v>
      </c>
      <c r="B5" t="s">
        <v>30</v>
      </c>
      <c r="C5" t="s">
        <v>438</v>
      </c>
      <c r="D5" t="s">
        <v>117</v>
      </c>
      <c r="E5" t="s">
        <v>143</v>
      </c>
      <c r="F5" t="str" cm="1">
        <f t="array" ref="F5">_xll.FDS(E5,"FG_YIELD_NAME")</f>
        <v>Philippines Benchmark Bond - 10 Year</v>
      </c>
      <c r="G5">
        <f>VLOOKUP(A5,'LIQIDITY 2'!$A$3:$E$26,5,FALSE)</f>
        <v>6.2653040000000004</v>
      </c>
      <c r="H5" cm="1">
        <f t="array" ref="H5">_xll.FDS(B5,"FG_ROE(0)")</f>
        <v>12.4634516648619</v>
      </c>
      <c r="I5">
        <f>HLOOKUP(B5,'Index ROE'!$B$1:$V$25,24,FALSE)</f>
        <v>12.530824852807651</v>
      </c>
      <c r="J5" cm="1">
        <f t="array" ref="J5">_xll.FDS(B5, "FMA_RBICS_REV_CURRENT(30, LOC, ""PORTAGG"")")</f>
        <v>41.245807550166703</v>
      </c>
      <c r="K5" s="77">
        <f>HLOOKUP(B5,'Index earnings'!$A$1:$V$26,26,FALSE)</f>
        <v>6.5968962435704714E-2</v>
      </c>
      <c r="L5">
        <f>HLOOKUP(B5,'Yearly returns'!$B$1:$V$128,126,FALSE)</f>
        <v>-41.61412</v>
      </c>
      <c r="M5">
        <f t="shared" si="0"/>
        <v>6.2655208528076507</v>
      </c>
      <c r="N5" cm="1">
        <f t="array" ref="N5">_xlfn.PERCENTRANK.EXC(_xlfn._xlws.FILTER(M$2:M$22, ISNUMBER(M$2:M$22)),M5)*100</f>
        <v>36.299999999999997</v>
      </c>
      <c r="O5" cm="1">
        <f t="array" ref="O5">(1-_xlfn.PERCENTRANK.EXC(_xlfn._xlws.FILTER(J$2:J$22, ISNUMBER(J$2:J$22)),J5))*100</f>
        <v>41</v>
      </c>
      <c r="P5" cm="1">
        <f t="array" ref="P5">_xlfn.PERCENTRANK.EXC(_xlfn._xlws.FILTER(K$2:K$22, ISNUMBER(K$2:K$22)),K5)*100</f>
        <v>81.8</v>
      </c>
      <c r="Q5" cm="1">
        <f t="array" ref="Q5">_xlfn.PERCENTRANK.EXC(_xlfn._xlws.FILTER(L$2:L$22, ISNUMBER(L$2:L$22)),L5)*100</f>
        <v>50</v>
      </c>
      <c r="R5">
        <f>N5*Assumption!$F$64 + O5*Assumption!$F$61 + P5*Assumption!$F$62 + Q5*Assumption!$F$63</f>
        <v>52.274999999999999</v>
      </c>
      <c r="S5" cm="1">
        <f t="array" ref="S5">_xlfn.PERCENTRANK.EXC(_xlfn._xlws.FILTER(R$2:R$22, ISNUMBER(R$2:R$22)),R5)*100</f>
        <v>68.100000000000009</v>
      </c>
    </row>
    <row r="6" spans="1:19" x14ac:dyDescent="0.35">
      <c r="A6" t="s">
        <v>23</v>
      </c>
      <c r="B6" t="s">
        <v>23</v>
      </c>
      <c r="C6" t="s">
        <v>439</v>
      </c>
      <c r="D6" t="s">
        <v>100</v>
      </c>
      <c r="E6" t="s">
        <v>129</v>
      </c>
      <c r="F6" t="str" cm="1">
        <f t="array" ref="F6">_xll.FDS(E6,"FG_YIELD_NAME")</f>
        <v>Treasury - Poland Benchmark Bond 10Y</v>
      </c>
      <c r="G6">
        <f>VLOOKUP(A6,'LIQIDITY 2'!$A$3:$E$26,5,FALSE)</f>
        <v>5.5731000000000002</v>
      </c>
      <c r="H6" cm="1">
        <f t="array" ref="H6">_xll.FDS(B6,"FG_ROE(0)")</f>
        <v>13.3025372213122</v>
      </c>
      <c r="I6">
        <f>HLOOKUP(B6,'Index ROE'!$B$1:$V$25,24,FALSE)</f>
        <v>10.013481596831115</v>
      </c>
      <c r="J6" cm="1">
        <f t="array" ref="J6">_xll.FDS(B6, "FMA_RBICS_REV_CURRENT(30, LOC, ""PORTAGG"")")</f>
        <v>48.644387828237001</v>
      </c>
      <c r="K6" s="77">
        <f>HLOOKUP(B6,'Index earnings'!$A$1:$V$26,26,FALSE)</f>
        <v>3.6620331475524681E-2</v>
      </c>
      <c r="L6">
        <f>HLOOKUP(B6,'Yearly returns'!$B$1:$V$128,126,FALSE)</f>
        <v>-52.688442000000002</v>
      </c>
      <c r="M6">
        <f t="shared" si="0"/>
        <v>4.4403815968311147</v>
      </c>
      <c r="N6" cm="1">
        <f t="array" ref="N6">_xlfn.PERCENTRANK.EXC(_xlfn._xlws.FILTER(M$2:M$22, ISNUMBER(M$2:M$22)),M6)*100</f>
        <v>22.7</v>
      </c>
      <c r="O6" cm="1">
        <f t="array" ref="O6">(1-_xlfn.PERCENTRANK.EXC(_xlfn._xlws.FILTER(J$2:J$22, ISNUMBER(J$2:J$22)),J6))*100</f>
        <v>22.799999999999997</v>
      </c>
      <c r="P6" cm="1">
        <f t="array" ref="P6">_xlfn.PERCENTRANK.EXC(_xlfn._xlws.FILTER(K$2:K$22, ISNUMBER(K$2:K$22)),K6)*100</f>
        <v>54.500000000000007</v>
      </c>
      <c r="Q6" cm="1">
        <f t="array" ref="Q6">_xlfn.PERCENTRANK.EXC(_xlfn._xlws.FILTER(L$2:L$22, ISNUMBER(L$2:L$22)),L6)*100</f>
        <v>13.600000000000001</v>
      </c>
      <c r="R6">
        <f>N6*Assumption!$F$64 + O6*Assumption!$F$61 + P6*Assumption!$F$62 + Q6*Assumption!$F$63</f>
        <v>28.4</v>
      </c>
      <c r="S6" cm="1">
        <f t="array" ref="S6">_xlfn.PERCENTRANK.EXC(_xlfn._xlws.FILTER(R$2:R$22, ISNUMBER(R$2:R$22)),R6)*100</f>
        <v>9</v>
      </c>
    </row>
    <row r="7" spans="1:19" x14ac:dyDescent="0.35">
      <c r="A7" t="s">
        <v>29</v>
      </c>
      <c r="B7" t="s">
        <v>29</v>
      </c>
      <c r="C7" t="s">
        <v>440</v>
      </c>
      <c r="D7" t="s">
        <v>112</v>
      </c>
      <c r="E7" t="s">
        <v>137</v>
      </c>
      <c r="F7" t="str" cm="1">
        <f t="array" ref="F7">_xll.FDS(E7,"FG_YIELD_NAME")</f>
        <v>Treasury - Peru Benchmark Bond 10Y</v>
      </c>
      <c r="G7">
        <f>VLOOKUP(A7,'LIQIDITY 2'!$A$3:$E$26,5,FALSE)</f>
        <v>6.9470080000000003</v>
      </c>
      <c r="H7" cm="1">
        <f t="array" ref="H7">_xll.FDS(B7,"FG_ROE(0)")</f>
        <v>9.8607851827058095</v>
      </c>
      <c r="I7">
        <f>HLOOKUP(B7,'Index ROE'!$B$1:$V$25,24,FALSE)</f>
        <v>12.932447426875701</v>
      </c>
      <c r="J7" cm="1">
        <f t="array" ref="J7">_xll.FDS(B7, "FMA_RBICS_REV_CURRENT(30, LOC, ""PORTAGG"")")</f>
        <v>30.8413445335127</v>
      </c>
      <c r="K7" s="77">
        <f>HLOOKUP(B7,'Index earnings'!$A$1:$V$26,26,FALSE)</f>
        <v>1.6222354296116626E-2</v>
      </c>
      <c r="L7">
        <f>HLOOKUP(B7,'Yearly returns'!$B$1:$V$128,126,FALSE)</f>
        <v>-42.311050000000002</v>
      </c>
      <c r="M7">
        <f t="shared" si="0"/>
        <v>5.9854394268757005</v>
      </c>
      <c r="N7" cm="1">
        <f t="array" ref="N7">_xlfn.PERCENTRANK.EXC(_xlfn._xlws.FILTER(M$2:M$22, ISNUMBER(M$2:M$22)),M7)*100</f>
        <v>31.8</v>
      </c>
      <c r="O7" cm="1">
        <f t="array" ref="O7">(1-_xlfn.PERCENTRANK.EXC(_xlfn._xlws.FILTER(J$2:J$22, ISNUMBER(J$2:J$22)),J7))*100</f>
        <v>54.6</v>
      </c>
      <c r="P7" cm="1">
        <f t="array" ref="P7">_xlfn.PERCENTRANK.EXC(_xlfn._xlws.FILTER(K$2:K$22, ISNUMBER(K$2:K$22)),K7)*100</f>
        <v>31.8</v>
      </c>
      <c r="Q7" cm="1">
        <f t="array" ref="Q7">_xlfn.PERCENTRANK.EXC(_xlfn._xlws.FILTER(L$2:L$22, ISNUMBER(L$2:L$22)),L7)*100</f>
        <v>45.4</v>
      </c>
      <c r="R7">
        <f>N7*Assumption!$F$64 + O7*Assumption!$F$61 + P7*Assumption!$F$62 + Q7*Assumption!$F$63</f>
        <v>40.9</v>
      </c>
      <c r="S7" cm="1">
        <f t="array" ref="S7">_xlfn.PERCENTRANK.EXC(_xlfn._xlws.FILTER(R$2:R$22, ISNUMBER(R$2:R$22)),R7)*100</f>
        <v>31.8</v>
      </c>
    </row>
    <row r="8" spans="1:19" x14ac:dyDescent="0.35">
      <c r="A8" t="s">
        <v>33</v>
      </c>
      <c r="B8" t="s">
        <v>33</v>
      </c>
      <c r="C8" t="s">
        <v>441</v>
      </c>
      <c r="D8" t="s">
        <v>122</v>
      </c>
      <c r="E8" t="s">
        <v>145</v>
      </c>
      <c r="F8" t="str" cm="1">
        <f t="array" ref="F8">_xll.FDS(E8,"FG_YIELD_NAME")</f>
        <v>Treasury - Malaysia Benchmark Bond 10Y</v>
      </c>
      <c r="G8">
        <f>VLOOKUP(A8,'LIQIDITY 2'!$A$3:$E$26,5,FALSE)</f>
        <v>3.8072539999999999</v>
      </c>
      <c r="H8" cm="1">
        <f t="array" ref="H8">_xll.FDS(B8,"FG_ROE(0)")</f>
        <v>8.1885698891642509</v>
      </c>
      <c r="I8">
        <f>HLOOKUP(B8,'Index ROE'!$B$1:$V$25,24,FALSE)</f>
        <v>11.93920849991995</v>
      </c>
      <c r="J8" cm="1">
        <f t="array" ref="J8">_xll.FDS(B8, "FMA_RBICS_REV_CURRENT(30, LOC, ""PORTAGG"")")</f>
        <v>40.274268250227401</v>
      </c>
      <c r="K8" s="77">
        <f>HLOOKUP(B8,'Index earnings'!$A$1:$V$26,26,FALSE)</f>
        <v>2.3804408873769667E-2</v>
      </c>
      <c r="L8">
        <f>HLOOKUP(B8,'Yearly returns'!$B$1:$V$128,126,FALSE)</f>
        <v>-35.958331999999999</v>
      </c>
      <c r="M8">
        <f t="shared" si="0"/>
        <v>8.1319544999199493</v>
      </c>
      <c r="N8" cm="1">
        <f t="array" ref="N8">_xlfn.PERCENTRANK.EXC(_xlfn._xlws.FILTER(M$2:M$22, ISNUMBER(M$2:M$22)),M8)*100</f>
        <v>59</v>
      </c>
      <c r="O8" cm="1">
        <f t="array" ref="O8">(1-_xlfn.PERCENTRANK.EXC(_xlfn._xlws.FILTER(J$2:J$22, ISNUMBER(J$2:J$22)),J8))*100</f>
        <v>45.499999999999993</v>
      </c>
      <c r="P8" cm="1">
        <f t="array" ref="P8">_xlfn.PERCENTRANK.EXC(_xlfn._xlws.FILTER(K$2:K$22, ISNUMBER(K$2:K$22)),K8)*100</f>
        <v>40.9</v>
      </c>
      <c r="Q8" cm="1">
        <f t="array" ref="Q8">_xlfn.PERCENTRANK.EXC(_xlfn._xlws.FILTER(L$2:L$22, ISNUMBER(L$2:L$22)),L8)*100</f>
        <v>63.6</v>
      </c>
      <c r="R8">
        <f>N8*Assumption!$F$64 + O8*Assumption!$F$61 + P8*Assumption!$F$62 + Q8*Assumption!$F$63</f>
        <v>52.25</v>
      </c>
      <c r="S8" cm="1">
        <f t="array" ref="S8">_xlfn.PERCENTRANK.EXC(_xlfn._xlws.FILTER(R$2:R$22, ISNUMBER(R$2:R$22)),R8)*100</f>
        <v>59</v>
      </c>
    </row>
    <row r="9" spans="1:19" x14ac:dyDescent="0.35">
      <c r="A9" t="s">
        <v>24</v>
      </c>
      <c r="B9" t="s">
        <v>24</v>
      </c>
      <c r="C9" t="s">
        <v>40</v>
      </c>
      <c r="D9" t="s">
        <v>103</v>
      </c>
      <c r="E9" t="s">
        <v>131</v>
      </c>
      <c r="F9" t="str" cm="1">
        <f t="array" ref="F9">_xll.FDS(E9,"FG_YIELD_NAME")</f>
        <v>Taiwan China Benchmark Bond - 10 Year</v>
      </c>
      <c r="G9">
        <f>VLOOKUP(A9,'LIQIDITY 2'!$A$3:$E$26,5,FALSE)</f>
        <v>1.66</v>
      </c>
      <c r="H9" cm="1">
        <f t="array" ref="H9">_xll.FDS(B9,"FG_ROE(0)")</f>
        <v>10.3459134176363</v>
      </c>
      <c r="I9">
        <f>HLOOKUP(B9,'Index ROE'!$B$1:$V$25,24,FALSE)</f>
        <v>12.150760335861051</v>
      </c>
      <c r="J9" cm="1">
        <f t="array" ref="J9">_xll.FDS(B9, "FMA_RBICS_REV_CURRENT(30, LOC, ""PORTAGG"")")</f>
        <v>17.1261918631904</v>
      </c>
      <c r="K9" s="77">
        <f>HLOOKUP(B9,'Index earnings'!$A$1:$V$26,26,FALSE)</f>
        <v>3.7646116662512163E-2</v>
      </c>
      <c r="L9">
        <f>HLOOKUP(B9,'Yearly returns'!$B$1:$V$128,126,FALSE)</f>
        <v>-32.07159</v>
      </c>
      <c r="M9">
        <f t="shared" si="0"/>
        <v>10.490760335861051</v>
      </c>
      <c r="N9" cm="1">
        <f t="array" ref="N9">_xlfn.PERCENTRANK.EXC(_xlfn._xlws.FILTER(M$2:M$22, ISNUMBER(M$2:M$22)),M9)*100</f>
        <v>81.8</v>
      </c>
      <c r="O9" cm="1">
        <f t="array" ref="O9">(1-_xlfn.PERCENTRANK.EXC(_xlfn._xlws.FILTER(J$2:J$22, ISNUMBER(J$2:J$22)),J9))*100</f>
        <v>91</v>
      </c>
      <c r="P9" cm="1">
        <f t="array" ref="P9">_xlfn.PERCENTRANK.EXC(_xlfn._xlws.FILTER(K$2:K$22, ISNUMBER(K$2:K$22)),K9)*100</f>
        <v>59</v>
      </c>
      <c r="Q9" cm="1">
        <f t="array" ref="Q9">_xlfn.PERCENTRANK.EXC(_xlfn._xlws.FILTER(L$2:L$22, ISNUMBER(L$2:L$22)),L9)*100</f>
        <v>81.8</v>
      </c>
      <c r="R9">
        <f>N9*Assumption!$F$64 + O9*Assumption!$F$61 + P9*Assumption!$F$62 + Q9*Assumption!$F$63</f>
        <v>78.400000000000006</v>
      </c>
      <c r="S9" cm="1">
        <f t="array" ref="S9">_xlfn.PERCENTRANK.EXC(_xlfn._xlws.FILTER(R$2:R$22, ISNUMBER(R$2:R$22)),R9)*100</f>
        <v>90.9</v>
      </c>
    </row>
    <row r="10" spans="1:19" x14ac:dyDescent="0.35">
      <c r="A10" t="s">
        <v>7</v>
      </c>
      <c r="B10" t="s">
        <v>7</v>
      </c>
      <c r="C10" t="s">
        <v>53</v>
      </c>
      <c r="D10" t="s">
        <v>121</v>
      </c>
      <c r="E10" t="s">
        <v>15</v>
      </c>
      <c r="F10" t="str" cm="1">
        <f t="array" ref="F10">_xll.FDS(E10,"FG_YIELD_NAME")</f>
        <v>Treasury - Mexico Benchmark Bond 10Y</v>
      </c>
      <c r="G10">
        <f>VLOOKUP(A10,'LIQIDITY 2'!$A$3:$E$26,5,FALSE)</f>
        <v>9.9659999999999993</v>
      </c>
      <c r="H10" cm="1">
        <f t="array" ref="H10">_xll.FDS(B10,"FG_ROE(0)")</f>
        <v>10.7675957018637</v>
      </c>
      <c r="I10">
        <f>HLOOKUP(B10,'Index ROE'!$B$1:$V$25,24,FALSE)</f>
        <v>12.78064669069385</v>
      </c>
      <c r="J10" cm="1">
        <f t="array" ref="J10">_xll.FDS(B10, "FMA_RBICS_REV_CURRENT(30, LOC, ""PORTAGG"")")</f>
        <v>27.371872794352299</v>
      </c>
      <c r="K10" s="77">
        <f>HLOOKUP(B10,'Index earnings'!$A$1:$V$26,26,FALSE)</f>
        <v>5.8038772053721877E-2</v>
      </c>
      <c r="L10">
        <f>HLOOKUP(B10,'Yearly returns'!$B$1:$V$128,126,FALSE)</f>
        <v>-38.409424000000001</v>
      </c>
      <c r="M10">
        <f t="shared" si="0"/>
        <v>2.8146466906938503</v>
      </c>
      <c r="N10" cm="1">
        <f t="array" ref="N10">_xlfn.PERCENTRANK.EXC(_xlfn._xlws.FILTER(M$2:M$22, ISNUMBER(M$2:M$22)),M10)*100</f>
        <v>18.099999999999998</v>
      </c>
      <c r="O10" cm="1">
        <f t="array" ref="O10">(1-_xlfn.PERCENTRANK.EXC(_xlfn._xlws.FILTER(J$2:J$22, ISNUMBER(J$2:J$22)),J10))*100</f>
        <v>63.7</v>
      </c>
      <c r="P10" cm="1">
        <f t="array" ref="P10">_xlfn.PERCENTRANK.EXC(_xlfn._xlws.FILTER(K$2:K$22, ISNUMBER(K$2:K$22)),K10)*100</f>
        <v>72.7</v>
      </c>
      <c r="Q10" cm="1">
        <f t="array" ref="Q10">_xlfn.PERCENTRANK.EXC(_xlfn._xlws.FILTER(L$2:L$22, ISNUMBER(L$2:L$22)),L10)*100</f>
        <v>54.500000000000007</v>
      </c>
      <c r="R10">
        <f>N10*Assumption!$F$64 + O10*Assumption!$F$61 + P10*Assumption!$F$62 + Q10*Assumption!$F$63</f>
        <v>52.25</v>
      </c>
      <c r="S10" cm="1">
        <f t="array" ref="S10">_xlfn.PERCENTRANK.EXC(_xlfn._xlws.FILTER(R$2:R$22, ISNUMBER(R$2:R$22)),R10)*100</f>
        <v>59</v>
      </c>
    </row>
    <row r="11" spans="1:19" x14ac:dyDescent="0.35">
      <c r="A11" t="s">
        <v>21</v>
      </c>
      <c r="B11" t="s">
        <v>21</v>
      </c>
      <c r="C11" t="s">
        <v>38</v>
      </c>
      <c r="D11" t="s">
        <v>101</v>
      </c>
      <c r="E11" t="s">
        <v>130</v>
      </c>
      <c r="F11" t="str" cm="1">
        <f t="array" ref="F11">_xll.FDS(E11,"FG_YIELD_NAME")</f>
        <v>South Korea Benchmark Bond - 10 Year</v>
      </c>
      <c r="G11">
        <f>VLOOKUP(A11,'LIQIDITY 2'!$A$3:$E$26,5,FALSE)</f>
        <v>3.1522999999999999</v>
      </c>
      <c r="H11" cm="1">
        <f t="array" ref="H11">_xll.FDS(B11,"FG_ROE(0)")</f>
        <v>6.2522762202244904</v>
      </c>
      <c r="I11">
        <f>HLOOKUP(B11,'Index ROE'!$B$1:$V$25,24,FALSE)</f>
        <v>10.668520191121601</v>
      </c>
      <c r="J11" cm="1">
        <f t="array" ref="J11">_xll.FDS(B11, "FMA_RBICS_REV_CURRENT(30, LOC, ""PORTAGG"")")</f>
        <v>14.4107719744198</v>
      </c>
      <c r="K11" s="77">
        <f>HLOOKUP(B11,'Index earnings'!$A$1:$V$26,26,FALSE)</f>
        <v>2.4388236937695096E-2</v>
      </c>
      <c r="L11">
        <f>HLOOKUP(B11,'Yearly returns'!$B$1:$V$128,126,FALSE)</f>
        <v>-37.58831</v>
      </c>
      <c r="M11">
        <f t="shared" si="0"/>
        <v>7.5162201911216009</v>
      </c>
      <c r="N11" cm="1">
        <f t="array" ref="N11">_xlfn.PERCENTRANK.EXC(_xlfn._xlws.FILTER(M$2:M$22, ISNUMBER(M$2:M$22)),M11)*100</f>
        <v>50</v>
      </c>
      <c r="O11" cm="1">
        <f t="array" ref="O11">(1-_xlfn.PERCENTRANK.EXC(_xlfn._xlws.FILTER(J$2:J$22, ISNUMBER(J$2:J$22)),J11))*100</f>
        <v>95.5</v>
      </c>
      <c r="P11" cm="1">
        <f t="array" ref="P11">_xlfn.PERCENTRANK.EXC(_xlfn._xlws.FILTER(K$2:K$22, ISNUMBER(K$2:K$22)),K11)*100</f>
        <v>50</v>
      </c>
      <c r="Q11" cm="1">
        <f t="array" ref="Q11">_xlfn.PERCENTRANK.EXC(_xlfn._xlws.FILTER(L$2:L$22, ISNUMBER(L$2:L$22)),L11)*100</f>
        <v>59</v>
      </c>
      <c r="R11">
        <f>N11*Assumption!$F$64 + O11*Assumption!$F$61 + P11*Assumption!$F$62 + Q11*Assumption!$F$63</f>
        <v>63.625</v>
      </c>
      <c r="S11" cm="1">
        <f t="array" ref="S11">_xlfn.PERCENTRANK.EXC(_xlfn._xlws.FILTER(R$2:R$22, ISNUMBER(R$2:R$22)),R11)*100</f>
        <v>77.2</v>
      </c>
    </row>
    <row r="12" spans="1:19" x14ac:dyDescent="0.35">
      <c r="A12" t="s">
        <v>12</v>
      </c>
      <c r="B12" t="s">
        <v>12</v>
      </c>
      <c r="C12" t="s">
        <v>54</v>
      </c>
      <c r="D12" t="s">
        <v>127</v>
      </c>
      <c r="E12" t="s">
        <v>20</v>
      </c>
      <c r="F12" t="str" cm="1">
        <f t="array" ref="F12">_xll.FDS(E12,"FG_YIELD_NAME")</f>
        <v>Treasury - Brazil Benchmark Bond 10Y</v>
      </c>
      <c r="G12">
        <f>VLOOKUP(A12,'LIQIDITY 2'!$A$3:$E$26,5,FALSE)</f>
        <v>12.276152</v>
      </c>
      <c r="H12" cm="1">
        <f t="array" ref="H12">_xll.FDS(B12,"FG_ROE(0)")</f>
        <v>19.711426392747601</v>
      </c>
      <c r="I12">
        <f>HLOOKUP(B12,'Index ROE'!$B$1:$V$25,24,FALSE)</f>
        <v>14.7891144037412</v>
      </c>
      <c r="J12" cm="1">
        <f t="array" ref="J12">_xll.FDS(B12, "FMA_RBICS_REV_CURRENT(30, LOC, ""PORTAGG"")")</f>
        <v>26.132781240692001</v>
      </c>
      <c r="K12" s="77">
        <f>HLOOKUP(B12,'Index earnings'!$A$1:$V$26,26,FALSE)</f>
        <v>2.0697122347511643E-2</v>
      </c>
      <c r="L12">
        <f>HLOOKUP(B12,'Yearly returns'!$B$1:$V$128,126,FALSE)</f>
        <v>-51.555329999999998</v>
      </c>
      <c r="M12">
        <f t="shared" si="0"/>
        <v>2.5129624037412004</v>
      </c>
      <c r="N12" cm="1">
        <f t="array" ref="N12">_xlfn.PERCENTRANK.EXC(_xlfn._xlws.FILTER(M$2:M$22, ISNUMBER(M$2:M$22)),M12)*100</f>
        <v>13.600000000000001</v>
      </c>
      <c r="O12" cm="1">
        <f t="array" ref="O12">(1-_xlfn.PERCENTRANK.EXC(_xlfn._xlws.FILTER(J$2:J$22, ISNUMBER(J$2:J$22)),J12))*100</f>
        <v>68.199999999999989</v>
      </c>
      <c r="P12" cm="1">
        <f t="array" ref="P12">_xlfn.PERCENTRANK.EXC(_xlfn._xlws.FILTER(K$2:K$22, ISNUMBER(K$2:K$22)),K12)*100</f>
        <v>36.299999999999997</v>
      </c>
      <c r="Q12" cm="1">
        <f t="array" ref="Q12">_xlfn.PERCENTRANK.EXC(_xlfn._xlws.FILTER(L$2:L$22, ISNUMBER(L$2:L$22)),L12)*100</f>
        <v>18.099999999999998</v>
      </c>
      <c r="R12">
        <f>N12*Assumption!$F$64 + O12*Assumption!$F$61 + P12*Assumption!$F$62 + Q12*Assumption!$F$63</f>
        <v>34.049999999999997</v>
      </c>
      <c r="S12" cm="1">
        <f t="array" ref="S12">_xlfn.PERCENTRANK.EXC(_xlfn._xlws.FILTER(R$2:R$22, ISNUMBER(R$2:R$22)),R12)*100</f>
        <v>18.099999999999998</v>
      </c>
    </row>
    <row r="13" spans="1:19" x14ac:dyDescent="0.35">
      <c r="A13" t="s">
        <v>22</v>
      </c>
      <c r="B13" t="s">
        <v>22</v>
      </c>
      <c r="C13" t="s">
        <v>442</v>
      </c>
      <c r="D13" t="s">
        <v>99</v>
      </c>
      <c r="E13" t="s">
        <v>128</v>
      </c>
      <c r="F13" t="str" cm="1">
        <f t="array" ref="F13">_xll.FDS(E13,"FG_YIELD_NAME")</f>
        <v>Treasury - South Africa Benchmark Bond 10Y</v>
      </c>
      <c r="G13">
        <f>VLOOKUP(A13,'LIQIDITY 2'!$A$3:$E$26,5,FALSE)</f>
        <v>11.040422</v>
      </c>
      <c r="H13" cm="1">
        <f t="array" ref="H13">_xll.FDS(B13,"FG_ROE(0)")</f>
        <v>14.1414106715456</v>
      </c>
      <c r="I13">
        <f>HLOOKUP(B13,'Index ROE'!$B$1:$V$25,24,FALSE)</f>
        <v>16.7616860731518</v>
      </c>
      <c r="J13" cm="1">
        <f t="array" ref="J13">_xll.FDS(B13, "FMA_RBICS_REV_CURRENT(30, LOC, ""PORTAGG"")")</f>
        <v>44.010071557475698</v>
      </c>
      <c r="K13" s="77">
        <f>HLOOKUP(B13,'Index earnings'!$A$1:$V$26,26,FALSE)</f>
        <v>2.384197868685578E-2</v>
      </c>
      <c r="L13">
        <f>HLOOKUP(B13,'Yearly returns'!$B$1:$V$128,126,FALSE)</f>
        <v>-45.235664</v>
      </c>
      <c r="M13">
        <f t="shared" si="0"/>
        <v>5.7212640731518007</v>
      </c>
      <c r="N13" cm="1">
        <f t="array" ref="N13">_xlfn.PERCENTRANK.EXC(_xlfn._xlws.FILTER(M$2:M$22, ISNUMBER(M$2:M$22)),M13)*100</f>
        <v>27.200000000000003</v>
      </c>
      <c r="O13" cm="1">
        <f t="array" ref="O13">(1-_xlfn.PERCENTRANK.EXC(_xlfn._xlws.FILTER(J$2:J$22, ISNUMBER(J$2:J$22)),J13))*100</f>
        <v>27.3</v>
      </c>
      <c r="P13" cm="1">
        <f t="array" ref="P13">_xlfn.PERCENTRANK.EXC(_xlfn._xlws.FILTER(K$2:K$22, ISNUMBER(K$2:K$22)),K13)*100</f>
        <v>45.4</v>
      </c>
      <c r="Q13" cm="1">
        <f t="array" ref="Q13">_xlfn.PERCENTRANK.EXC(_xlfn._xlws.FILTER(L$2:L$22, ISNUMBER(L$2:L$22)),L13)*100</f>
        <v>31.8</v>
      </c>
      <c r="R13">
        <f>N13*Assumption!$F$64 + O13*Assumption!$F$61 + P13*Assumption!$F$62 + Q13*Assumption!$F$63</f>
        <v>32.925000000000004</v>
      </c>
      <c r="S13" cm="1">
        <f t="array" ref="S13">_xlfn.PERCENTRANK.EXC(_xlfn._xlws.FILTER(R$2:R$22, ISNUMBER(R$2:R$22)),R13)*100</f>
        <v>13.600000000000001</v>
      </c>
    </row>
    <row r="14" spans="1:19" x14ac:dyDescent="0.35">
      <c r="A14" t="s">
        <v>28</v>
      </c>
      <c r="B14" t="s">
        <v>28</v>
      </c>
      <c r="C14" t="s">
        <v>443</v>
      </c>
      <c r="D14" t="s">
        <v>111</v>
      </c>
      <c r="E14" t="s">
        <v>136</v>
      </c>
      <c r="F14" t="str" cm="1">
        <f t="array" ref="F14">_xll.FDS(E14,"FG_YIELD_NAME")</f>
        <v>Greece Benchmark Bond - 10 Year</v>
      </c>
      <c r="G14">
        <f>VLOOKUP(A14,'LIQIDITY 2'!$A$3:$E$26,5,FALSE)</f>
        <v>3.4289999999999998</v>
      </c>
      <c r="H14" cm="1">
        <f t="array" ref="H14">_xll.FDS(B14,"FG_ROE(0)")</f>
        <v>14.5547827934118</v>
      </c>
      <c r="I14">
        <f>HLOOKUP(B14,'Index ROE'!$B$1:$V$25,24,FALSE)</f>
        <v>5.4192242708958744</v>
      </c>
      <c r="J14" cm="1">
        <f t="array" ref="J14">_xll.FDS(B14, "FMA_RBICS_REV_CURRENT(30, LOC, ""PORTAGG"")")</f>
        <v>41.910778951958498</v>
      </c>
      <c r="K14" s="77">
        <f>HLOOKUP(B14,'Index earnings'!$A$1:$V$26,26,FALSE)</f>
        <v>-9.9977006807554725E-2</v>
      </c>
      <c r="L14">
        <f>HLOOKUP(B14,'Yearly returns'!$B$1:$V$128,126,FALSE)</f>
        <v>-59.025706999999997</v>
      </c>
      <c r="M14">
        <f t="shared" si="0"/>
        <v>1.9902242708958746</v>
      </c>
      <c r="N14" cm="1">
        <f t="array" ref="N14">_xlfn.PERCENTRANK.EXC(_xlfn._xlws.FILTER(M$2:M$22, ISNUMBER(M$2:M$22)),M14)*100</f>
        <v>9</v>
      </c>
      <c r="O14" cm="1">
        <f t="array" ref="O14">(1-_xlfn.PERCENTRANK.EXC(_xlfn._xlws.FILTER(J$2:J$22, ISNUMBER(J$2:J$22)),J14))*100</f>
        <v>36.4</v>
      </c>
      <c r="P14" cm="1">
        <f t="array" ref="P14">_xlfn.PERCENTRANK.EXC(_xlfn._xlws.FILTER(K$2:K$22, ISNUMBER(K$2:K$22)),K14)*100</f>
        <v>4.5</v>
      </c>
      <c r="Q14" cm="1">
        <f t="array" ref="Q14">_xlfn.PERCENTRANK.EXC(_xlfn._xlws.FILTER(L$2:L$22, ISNUMBER(L$2:L$22)),L14)*100</f>
        <v>4.5</v>
      </c>
      <c r="R14">
        <f>N14*Assumption!$F$64 + O14*Assumption!$F$61 + P14*Assumption!$F$62 + Q14*Assumption!$F$63</f>
        <v>13.6</v>
      </c>
      <c r="S14" cm="1">
        <f t="array" ref="S14">_xlfn.PERCENTRANK.EXC(_xlfn._xlws.FILTER(R$2:R$22, ISNUMBER(R$2:R$22)),R14)*100</f>
        <v>4.5</v>
      </c>
    </row>
    <row r="15" spans="1:19" x14ac:dyDescent="0.35">
      <c r="A15" t="s">
        <v>32</v>
      </c>
      <c r="B15" t="s">
        <v>32</v>
      </c>
      <c r="C15" t="s">
        <v>52</v>
      </c>
      <c r="D15" t="s">
        <v>118</v>
      </c>
      <c r="E15" t="s">
        <v>18</v>
      </c>
      <c r="F15" t="str" cm="1">
        <f t="array" ref="F15">_xll.FDS(E15,"FG_YIELD_NAME")</f>
        <v>India Benchmark Bond - 10 Year</v>
      </c>
      <c r="G15">
        <f>VLOOKUP(A15,'LIQIDITY 2'!$A$3:$E$26,5,FALSE)</f>
        <v>6.9705000000000004</v>
      </c>
      <c r="H15" cm="1">
        <f t="array" ref="H15">_xll.FDS(B15,"FG_ROE(0)")</f>
        <v>15.3132121640354</v>
      </c>
      <c r="I15">
        <f>HLOOKUP(B15,'Index ROE'!$B$1:$V$25,24,FALSE)</f>
        <v>15.463136340534799</v>
      </c>
      <c r="J15" cm="1">
        <f t="array" ref="J15">_xll.FDS(B15, "FMA_RBICS_REV_CURRENT(30, LOC, ""PORTAGG"")")</f>
        <v>29.5919232588796</v>
      </c>
      <c r="K15" s="77">
        <f>HLOOKUP(B15,'Index earnings'!$A$1:$V$26,26,FALSE)</f>
        <v>6.0124105113710025E-2</v>
      </c>
      <c r="L15">
        <f>HLOOKUP(B15,'Yearly returns'!$B$1:$V$128,126,FALSE)</f>
        <v>-34.897069999999999</v>
      </c>
      <c r="M15">
        <f t="shared" si="0"/>
        <v>8.4926363405347978</v>
      </c>
      <c r="N15" cm="1">
        <f t="array" ref="N15">_xlfn.PERCENTRANK.EXC(_xlfn._xlws.FILTER(M$2:M$22, ISNUMBER(M$2:M$22)),M15)*100</f>
        <v>68.100000000000009</v>
      </c>
      <c r="O15" cm="1">
        <f t="array" ref="O15">(1-_xlfn.PERCENTRANK.EXC(_xlfn._xlws.FILTER(J$2:J$22, ISNUMBER(J$2:J$22)),J15))*100</f>
        <v>59.099999999999994</v>
      </c>
      <c r="P15" cm="1">
        <f t="array" ref="P15">_xlfn.PERCENTRANK.EXC(_xlfn._xlws.FILTER(K$2:K$22, ISNUMBER(K$2:K$22)),K15)*100</f>
        <v>77.2</v>
      </c>
      <c r="Q15" cm="1">
        <f t="array" ref="Q15">_xlfn.PERCENTRANK.EXC(_xlfn._xlws.FILTER(L$2:L$22, ISNUMBER(L$2:L$22)),L15)*100</f>
        <v>77.2</v>
      </c>
      <c r="R15">
        <f>N15*Assumption!$F$64 + O15*Assumption!$F$61 + P15*Assumption!$F$62 + Q15*Assumption!$F$63</f>
        <v>70.400000000000006</v>
      </c>
      <c r="S15" cm="1">
        <f t="array" ref="S15">_xlfn.PERCENTRANK.EXC(_xlfn._xlws.FILTER(R$2:R$22, ISNUMBER(R$2:R$22)),R15)*100</f>
        <v>81.8</v>
      </c>
    </row>
    <row r="16" spans="1:19" x14ac:dyDescent="0.35">
      <c r="A16" t="s">
        <v>26</v>
      </c>
      <c r="B16" t="s">
        <v>26</v>
      </c>
      <c r="C16" t="s">
        <v>41</v>
      </c>
      <c r="D16" t="s">
        <v>104</v>
      </c>
      <c r="E16" t="s">
        <v>17</v>
      </c>
      <c r="F16" t="str" cm="1">
        <f t="array" ref="F16">_xll.FDS(E16,"FG_YIELD_NAME")</f>
        <v>Treasury - China Benchmark Bond 10Y</v>
      </c>
      <c r="G16">
        <f>VLOOKUP(A16,'LIQIDITY 2'!$A$3:$E$26,5,FALSE)</f>
        <v>2.2690000000000001</v>
      </c>
      <c r="H16" cm="1">
        <f t="array" ref="H16">_xll.FDS(B16,"FG_ROE(0)")</f>
        <v>10.7401613284734</v>
      </c>
      <c r="I16">
        <f>HLOOKUP(B16,'Index ROE'!$B$1:$V$25,24,FALSE)</f>
        <v>12.8854006393898</v>
      </c>
      <c r="J16" cm="1">
        <f t="array" ref="J16">_xll.FDS(B16, "FMA_RBICS_REV_CURRENT(30, LOC, ""PORTAGG"")")</f>
        <v>25.149505194542499</v>
      </c>
      <c r="K16" s="77">
        <f>HLOOKUP(B16,'Index earnings'!$A$1:$V$26,26,FALSE)</f>
        <v>7.2152115954511764E-2</v>
      </c>
      <c r="L16">
        <f>HLOOKUP(B16,'Yearly returns'!$B$1:$V$128,126,FALSE)</f>
        <v>-45.109209999999997</v>
      </c>
      <c r="M16">
        <f t="shared" si="0"/>
        <v>10.6164006393898</v>
      </c>
      <c r="N16" cm="1">
        <f t="array" ref="N16">_xlfn.PERCENTRANK.EXC(_xlfn._xlws.FILTER(M$2:M$22, ISNUMBER(M$2:M$22)),M16)*100</f>
        <v>86.3</v>
      </c>
      <c r="O16" cm="1">
        <f t="array" ref="O16">(1-_xlfn.PERCENTRANK.EXC(_xlfn._xlws.FILTER(J$2:J$22, ISNUMBER(J$2:J$22)),J16))*100</f>
        <v>72.8</v>
      </c>
      <c r="P16" cm="1">
        <f t="array" ref="P16">_xlfn.PERCENTRANK.EXC(_xlfn._xlws.FILTER(K$2:K$22, ISNUMBER(K$2:K$22)),K16)*100</f>
        <v>86.3</v>
      </c>
      <c r="Q16" cm="1">
        <f t="array" ref="Q16">_xlfn.PERCENTRANK.EXC(_xlfn._xlws.FILTER(L$2:L$22, ISNUMBER(L$2:L$22)),L16)*100</f>
        <v>40.9</v>
      </c>
      <c r="R16">
        <f>N16*Assumption!$F$64 + O16*Assumption!$F$61 + P16*Assumption!$F$62 + Q16*Assumption!$F$63</f>
        <v>71.574999999999989</v>
      </c>
      <c r="S16" cm="1">
        <f t="array" ref="S16">_xlfn.PERCENTRANK.EXC(_xlfn._xlws.FILTER(R$2:R$22, ISNUMBER(R$2:R$22)),R16)*100</f>
        <v>86.3</v>
      </c>
    </row>
    <row r="17" spans="1:19" x14ac:dyDescent="0.35">
      <c r="A17" t="s">
        <v>1</v>
      </c>
      <c r="B17" t="s">
        <v>31</v>
      </c>
      <c r="C17" t="s">
        <v>444</v>
      </c>
      <c r="D17" t="s">
        <v>120</v>
      </c>
      <c r="E17" t="s">
        <v>144</v>
      </c>
      <c r="F17" t="str" cm="1">
        <f t="array" ref="F17">_xll.FDS(E17,"FG_YIELD_NAME")</f>
        <v>Treasury - Qatar Benchmark Bond 10Y</v>
      </c>
      <c r="G17">
        <f>VLOOKUP(A17,'LIQIDITY 2'!$A$3:$E$26,5,FALSE)</f>
        <v>4.2378999999999998</v>
      </c>
      <c r="H17" cm="1">
        <f t="array" ref="H17">_xll.FDS(B17,"FG_ROE(0)")</f>
        <v>11.1875816384222</v>
      </c>
      <c r="I17">
        <f>HLOOKUP(B17,'Index ROE'!$B$1:$V$25,24,FALSE)</f>
        <v>12.269166041116101</v>
      </c>
      <c r="J17" cm="1">
        <f t="array" ref="J17">_xll.FDS(B17, "FMA_RBICS_REV_CURRENT(30, LOC, ""PORTAGG"")")</f>
        <v>60.191004934348001</v>
      </c>
      <c r="K17" s="77">
        <f>HLOOKUP(B17,'Index earnings'!$A$1:$V$26,26,FALSE)</f>
        <v>8.8740466700483189E-3</v>
      </c>
      <c r="L17">
        <f>HLOOKUP(B17,'Yearly returns'!$B$1:$V$128,126,FALSE)</f>
        <v>-27.174811999999999</v>
      </c>
      <c r="M17">
        <f t="shared" si="0"/>
        <v>8.0312660411161012</v>
      </c>
      <c r="N17" cm="1">
        <f t="array" ref="N17">_xlfn.PERCENTRANK.EXC(_xlfn._xlws.FILTER(M$2:M$22, ISNUMBER(M$2:M$22)),M17)*100</f>
        <v>54.500000000000007</v>
      </c>
      <c r="O17" cm="1">
        <f t="array" ref="O17">(1-_xlfn.PERCENTRANK.EXC(_xlfn._xlws.FILTER(J$2:J$22, ISNUMBER(J$2:J$22)),J17))*100</f>
        <v>9.0999999999999979</v>
      </c>
      <c r="P17" cm="1">
        <f t="array" ref="P17">_xlfn.PERCENTRANK.EXC(_xlfn._xlws.FILTER(K$2:K$22, ISNUMBER(K$2:K$22)),K17)*100</f>
        <v>22.7</v>
      </c>
      <c r="Q17" cm="1">
        <f t="array" ref="Q17">_xlfn.PERCENTRANK.EXC(_xlfn._xlws.FILTER(L$2:L$22, ISNUMBER(L$2:L$22)),L17)*100</f>
        <v>95.399999999999991</v>
      </c>
      <c r="R17">
        <f>N17*Assumption!$F$64 + O17*Assumption!$F$61 + P17*Assumption!$F$62 + Q17*Assumption!$F$63</f>
        <v>45.424999999999997</v>
      </c>
      <c r="S17" cm="1">
        <f t="array" ref="S17">_xlfn.PERCENTRANK.EXC(_xlfn._xlws.FILTER(R$2:R$22, ISNUMBER(R$2:R$22)),R17)*100</f>
        <v>36.299999999999997</v>
      </c>
    </row>
    <row r="18" spans="1:19" x14ac:dyDescent="0.35">
      <c r="A18" t="s">
        <v>757</v>
      </c>
      <c r="B18" t="s">
        <v>757</v>
      </c>
      <c r="C18" t="s">
        <v>758</v>
      </c>
      <c r="D18" t="s">
        <v>220</v>
      </c>
      <c r="E18" t="s">
        <v>453</v>
      </c>
      <c r="F18" t="str" cm="1">
        <f t="array" ref="F18">_xll.FDS(E18,"FG_YIELD_NAME")</f>
        <v>Thailand Benchmark Bond - 10 Year</v>
      </c>
      <c r="G18">
        <f>VLOOKUP(A18,'LIQIDITY 2'!$A$3:$E$26,5,FALSE)</f>
        <v>2.6025999999999998</v>
      </c>
      <c r="H18" cm="1">
        <f t="array" ref="H18">_xll.FDS(B18,"FG_ROE(0)")</f>
        <v>7.5262594735906596</v>
      </c>
      <c r="I18">
        <f>HLOOKUP(B18,'Index ROE'!$B$1:$V$25,24,FALSE)</f>
        <v>13.0025654489041</v>
      </c>
      <c r="J18" cm="1">
        <f t="array" ref="J18">_xll.FDS(B18, "FMA_RBICS_REV_CURRENT(30, LOC, ""PORTAGG"")")</f>
        <v>23.100365410073799</v>
      </c>
      <c r="K18" s="77">
        <f>HLOOKUP(B18,'Index earnings'!$A$1:$V$26,26,FALSE)</f>
        <v>1.2617045604024435E-2</v>
      </c>
      <c r="L18">
        <f>HLOOKUP(B18,'Yearly returns'!$B$1:$V$128,126,FALSE)</f>
        <v>-35.942805999999997</v>
      </c>
      <c r="M18">
        <f t="shared" si="0"/>
        <v>10.399965448904101</v>
      </c>
      <c r="N18" cm="1">
        <f t="array" ref="N18">_xlfn.PERCENTRANK.EXC(_xlfn._xlws.FILTER(M$2:M$22, ISNUMBER(M$2:M$22)),M18)*100</f>
        <v>77.2</v>
      </c>
      <c r="O18" cm="1">
        <f t="array" ref="O18">(1-_xlfn.PERCENTRANK.EXC(_xlfn._xlws.FILTER(J$2:J$22, ISNUMBER(J$2:J$22)),J18))*100</f>
        <v>77.3</v>
      </c>
      <c r="P18" cm="1">
        <f t="array" ref="P18">_xlfn.PERCENTRANK.EXC(_xlfn._xlws.FILTER(K$2:K$22, ISNUMBER(K$2:K$22)),K18)*100</f>
        <v>27.200000000000003</v>
      </c>
      <c r="Q18" cm="1">
        <f t="array" ref="Q18">_xlfn.PERCENTRANK.EXC(_xlfn._xlws.FILTER(L$2:L$22, ISNUMBER(L$2:L$22)),L18)*100</f>
        <v>68.100000000000009</v>
      </c>
      <c r="R18">
        <f>N18*Assumption!$F$64 + O18*Assumption!$F$61 + P18*Assumption!$F$62 + Q18*Assumption!$F$63</f>
        <v>62.45</v>
      </c>
      <c r="S18" cm="1">
        <f t="array" ref="S18">_xlfn.PERCENTRANK.EXC(_xlfn._xlws.FILTER(R$2:R$22, ISNUMBER(R$2:R$22)),R18)*100</f>
        <v>72.7</v>
      </c>
    </row>
    <row r="19" spans="1:19" x14ac:dyDescent="0.35">
      <c r="A19" t="s">
        <v>25</v>
      </c>
      <c r="B19" t="s">
        <v>25</v>
      </c>
      <c r="C19" t="s">
        <v>446</v>
      </c>
      <c r="D19" t="s">
        <v>105</v>
      </c>
      <c r="E19" t="s">
        <v>132</v>
      </c>
      <c r="F19" t="str" cm="1">
        <f t="array" ref="F19">_xll.FDS(E19,"FG_YIELD_NAME")</f>
        <v>Treasury - Turkey Benchmark Bond 7Y</v>
      </c>
      <c r="G19">
        <f>VLOOKUP(A19,'LIQIDITY 2'!$A$3:$E$26,5,FALSE)</f>
        <v>23.925453000000001</v>
      </c>
      <c r="H19" cm="1">
        <f t="array" ref="H19">_xll.FDS(B19,"FG_ROE(0)")</f>
        <v>18.0827596664476</v>
      </c>
      <c r="I19">
        <f>HLOOKUP(B19,'Index ROE'!$B$1:$V$25,24,FALSE)</f>
        <v>14.774119846351301</v>
      </c>
      <c r="J19" cm="1">
        <f t="array" ref="J19">_xll.FDS(B19, "FMA_RBICS_REV_CURRENT(30, LOC, ""PORTAGG"")")</f>
        <v>22.490733200575399</v>
      </c>
      <c r="K19" s="77">
        <f>HLOOKUP(B19,'Index earnings'!$A$1:$V$26,26,FALSE)</f>
        <v>8.2005715561249914E-2</v>
      </c>
      <c r="L19">
        <f>HLOOKUP(B19,'Yearly returns'!$B$1:$V$128,126,FALSE)</f>
        <v>-49.546210000000002</v>
      </c>
      <c r="M19">
        <f t="shared" si="0"/>
        <v>-9.1513331536487001</v>
      </c>
      <c r="N19" cm="1">
        <f t="array" ref="N19">_xlfn.PERCENTRANK.EXC(_xlfn._xlws.FILTER(M$2:M$22, ISNUMBER(M$2:M$22)),M19)*100</f>
        <v>4.5</v>
      </c>
      <c r="O19" cm="1">
        <f t="array" ref="O19">(1-_xlfn.PERCENTRANK.EXC(_xlfn._xlws.FILTER(J$2:J$22, ISNUMBER(J$2:J$22)),J19))*100</f>
        <v>81.899999999999991</v>
      </c>
      <c r="P19" cm="1">
        <f t="array" ref="P19">_xlfn.PERCENTRANK.EXC(_xlfn._xlws.FILTER(K$2:K$22, ISNUMBER(K$2:K$22)),K19)*100</f>
        <v>95.399999999999991</v>
      </c>
      <c r="Q19" cm="1">
        <f t="array" ref="Q19">_xlfn.PERCENTRANK.EXC(_xlfn._xlws.FILTER(L$2:L$22, ISNUMBER(L$2:L$22)),L19)*100</f>
        <v>22.7</v>
      </c>
      <c r="R19">
        <f>N19*Assumption!$F$64 + O19*Assumption!$F$61 + P19*Assumption!$F$62 + Q19*Assumption!$F$63</f>
        <v>51.124999999999993</v>
      </c>
      <c r="S19" cm="1">
        <f t="array" ref="S19">_xlfn.PERCENTRANK.EXC(_xlfn._xlws.FILTER(R$2:R$22, ISNUMBER(R$2:R$22)),R19)*100</f>
        <v>54.500000000000007</v>
      </c>
    </row>
    <row r="20" spans="1:19" x14ac:dyDescent="0.35">
      <c r="A20" t="s">
        <v>34</v>
      </c>
      <c r="B20" t="s">
        <v>34</v>
      </c>
      <c r="C20" t="s">
        <v>447</v>
      </c>
      <c r="D20" t="s">
        <v>123</v>
      </c>
      <c r="E20" t="s">
        <v>146</v>
      </c>
      <c r="F20" t="str" cm="1">
        <f t="array" ref="F20">_xll.FDS(E20,"FG_YIELD_NAME")</f>
        <v>Treasury - United Arab Emirates USD Benchmark Bond 10Y</v>
      </c>
      <c r="G20">
        <f>VLOOKUP(A20,'LIQIDITY 2'!$A$3:$E$26,5,FALSE)</f>
        <v>4.2378999999999998</v>
      </c>
      <c r="H20" cm="1">
        <f t="array" ref="H20">_xll.FDS(B20,"FG_ROE(0)")</f>
        <v>13.061655256881499</v>
      </c>
      <c r="I20">
        <f>HLOOKUP(B20,'Index ROE'!$B$1:$V$25,24,FALSE)</f>
        <v>11.156370494280349</v>
      </c>
      <c r="J20" cm="1">
        <f t="array" ref="J20">_xll.FDS(B20, "FMA_RBICS_REV_CURRENT(30, LOC, ""PORTAGG"")")</f>
        <v>60.644653504758203</v>
      </c>
      <c r="K20" s="77">
        <f>HLOOKUP(B20,'Index earnings'!$A$1:$V$26,26,FALSE)</f>
        <v>8.3481705833627906E-3</v>
      </c>
      <c r="L20">
        <f>HLOOKUP(B20,'Yearly returns'!$B$1:$V$128,126,FALSE)</f>
        <v>-35.05789</v>
      </c>
      <c r="M20">
        <f t="shared" si="0"/>
        <v>6.9184704942803492</v>
      </c>
      <c r="N20" cm="1">
        <f t="array" ref="N20">_xlfn.PERCENTRANK.EXC(_xlfn._xlws.FILTER(M$2:M$22, ISNUMBER(M$2:M$22)),M20)*100</f>
        <v>40.9</v>
      </c>
      <c r="O20" cm="1">
        <f t="array" ref="O20">(1-_xlfn.PERCENTRANK.EXC(_xlfn._xlws.FILTER(J$2:J$22, ISNUMBER(J$2:J$22)),J20))*100</f>
        <v>4.6000000000000041</v>
      </c>
      <c r="P20" cm="1">
        <f t="array" ref="P20">_xlfn.PERCENTRANK.EXC(_xlfn._xlws.FILTER(K$2:K$22, ISNUMBER(K$2:K$22)),K20)*100</f>
        <v>18.099999999999998</v>
      </c>
      <c r="Q20" cm="1">
        <f t="array" ref="Q20">_xlfn.PERCENTRANK.EXC(_xlfn._xlws.FILTER(L$2:L$22, ISNUMBER(L$2:L$22)),L20)*100</f>
        <v>72.7</v>
      </c>
      <c r="R20">
        <f>N20*Assumption!$F$64 + O20*Assumption!$F$61 + P20*Assumption!$F$62 + Q20*Assumption!$F$63</f>
        <v>34.075000000000003</v>
      </c>
      <c r="S20" cm="1">
        <f t="array" ref="S20">_xlfn.PERCENTRANK.EXC(_xlfn._xlws.FILTER(R$2:R$22, ISNUMBER(R$2:R$22)),R20)*100</f>
        <v>22.7</v>
      </c>
    </row>
    <row r="21" spans="1:19" x14ac:dyDescent="0.35">
      <c r="A21" t="s">
        <v>37</v>
      </c>
      <c r="B21" t="s">
        <v>37</v>
      </c>
      <c r="C21" t="s">
        <v>448</v>
      </c>
      <c r="D21" t="s">
        <v>126</v>
      </c>
      <c r="E21" t="s">
        <v>149</v>
      </c>
      <c r="F21" t="str" cm="1">
        <f t="array" ref="F21">_xll.FDS(E21,"FG_YIELD_NAME")</f>
        <v>Treasury - Vietnam Benchmark Bond 10Y</v>
      </c>
      <c r="G21">
        <f>VLOOKUP(A21,'LIQIDITY 2'!$A$3:$E$26,5,FALSE)</f>
        <v>2.7215104000000001</v>
      </c>
      <c r="H21" cm="1">
        <f t="array" ref="H21">_xll.FDS(B21,"FG_ROE(0)")</f>
        <v>9.5559163528103301</v>
      </c>
      <c r="I21">
        <f>HLOOKUP(B21,'Index ROE'!$B$1:$V$25,24,FALSE)</f>
        <v>15.109726785561501</v>
      </c>
      <c r="J21" cm="1">
        <f t="array" ref="J21">_xll.FDS(B21, "FMA_RBICS_REV_CURRENT(30, LOC, ""PORTAGG"")")</f>
        <v>54.505453976541602</v>
      </c>
      <c r="K21" s="77">
        <f>HLOOKUP(B21,'Index earnings'!$A$1:$V$26,26,FALSE)</f>
        <v>-4.4922818595630631E-2</v>
      </c>
      <c r="L21">
        <f>HLOOKUP(B21,'Yearly returns'!$B$1:$V$128,126,FALSE)</f>
        <v>-45.146500000000003</v>
      </c>
      <c r="M21">
        <f t="shared" si="0"/>
        <v>12.388216385561501</v>
      </c>
      <c r="N21" cm="1">
        <f t="array" ref="N21">_xlfn.PERCENTRANK.EXC(_xlfn._xlws.FILTER(M$2:M$22, ISNUMBER(M$2:M$22)),M21)*100</f>
        <v>95.399999999999991</v>
      </c>
      <c r="O21" cm="1">
        <f t="array" ref="O21">(1-_xlfn.PERCENTRANK.EXC(_xlfn._xlws.FILTER(J$2:J$22, ISNUMBER(J$2:J$22)),J21))*100</f>
        <v>13.700000000000001</v>
      </c>
      <c r="P21" cm="1">
        <f t="array" ref="P21">_xlfn.PERCENTRANK.EXC(_xlfn._xlws.FILTER(K$2:K$22, ISNUMBER(K$2:K$22)),K21)*100</f>
        <v>9</v>
      </c>
      <c r="Q21" cm="1">
        <f t="array" ref="Q21">_xlfn.PERCENTRANK.EXC(_xlfn._xlws.FILTER(L$2:L$22, ISNUMBER(L$2:L$22)),L21)*100</f>
        <v>36.299999999999997</v>
      </c>
      <c r="R21">
        <f>N21*Assumption!$F$64 + O21*Assumption!$F$61 + P21*Assumption!$F$62 + Q21*Assumption!$F$63</f>
        <v>38.599999999999994</v>
      </c>
      <c r="S21" cm="1">
        <f t="array" ref="S21">_xlfn.PERCENTRANK.EXC(_xlfn._xlws.FILTER(R$2:R$22, ISNUMBER(R$2:R$22)),R21)*100</f>
        <v>27.200000000000003</v>
      </c>
    </row>
    <row r="22" spans="1:19" x14ac:dyDescent="0.35">
      <c r="A22" t="s">
        <v>36</v>
      </c>
      <c r="B22" t="s">
        <v>36</v>
      </c>
      <c r="C22" t="s">
        <v>449</v>
      </c>
      <c r="D22" t="s">
        <v>125</v>
      </c>
      <c r="E22" t="s">
        <v>148</v>
      </c>
      <c r="F22" t="str" cm="1">
        <f t="array" ref="F22">_xll.FDS(E22,"FG_YIELD_NAME")</f>
        <v>Treasury - SAUDI ARABIA Benchmark Bond 10Y</v>
      </c>
      <c r="G22">
        <f>VLOOKUP(A22,'LIQIDITY 2'!$A$3:$E$26,5,FALSE)</f>
        <v>5.0752959999999998</v>
      </c>
      <c r="H22" cm="1">
        <f t="array" ref="H22">_xll.FDS(B22,"FG_ROE(0)")</f>
        <v>11.0135462776468</v>
      </c>
      <c r="I22">
        <f>HLOOKUP(B22,'Index ROE'!$B$1:$V$25,24,FALSE)</f>
        <v>11.9967853551854</v>
      </c>
      <c r="J22" cm="1">
        <f t="array" ref="J22">_xll.FDS(B22, "FMA_RBICS_REV_CURRENT(30, LOC, ""PORTAGG"")")</f>
        <v>42.686505156654199</v>
      </c>
      <c r="K22" s="77">
        <f>HLOOKUP(B22,'Index earnings'!$A$1:$V$26,26,FALSE)</f>
        <v>-1.6026351247784176E-2</v>
      </c>
      <c r="L22">
        <f>HLOOKUP(B22,'Yearly returns'!$B$1:$V$128,126,FALSE)</f>
        <v>-29.125332</v>
      </c>
      <c r="M22">
        <f t="shared" si="0"/>
        <v>6.9214893551854004</v>
      </c>
      <c r="N22" cm="1">
        <f t="array" ref="N22">_xlfn.PERCENTRANK.EXC(_xlfn._xlws.FILTER(M$2:M$22, ISNUMBER(M$2:M$22)),M22)*100</f>
        <v>45.4</v>
      </c>
      <c r="O22" cm="1">
        <f t="array" ref="O22">(1-_xlfn.PERCENTRANK.EXC(_xlfn._xlws.FILTER(J$2:J$22, ISNUMBER(J$2:J$22)),J22))*100</f>
        <v>31.899999999999995</v>
      </c>
      <c r="P22" cm="1">
        <f t="array" ref="P22">_xlfn.PERCENTRANK.EXC(_xlfn._xlws.FILTER(K$2:K$22, ISNUMBER(K$2:K$22)),K22)*100</f>
        <v>13.600000000000001</v>
      </c>
      <c r="Q22" cm="1">
        <f t="array" ref="Q22">_xlfn.PERCENTRANK.EXC(_xlfn._xlws.FILTER(L$2:L$22, ISNUMBER(L$2:L$22)),L22)*100</f>
        <v>90.9</v>
      </c>
      <c r="R22">
        <f>N22*Assumption!$F$64 + O22*Assumption!$F$61 + P22*Assumption!$F$62 + Q22*Assumption!$F$63</f>
        <v>45.45</v>
      </c>
      <c r="S22" cm="1">
        <f t="array" ref="S22">_xlfn.PERCENTRANK.EXC(_xlfn._xlws.FILTER(R$2:R$22, ISNUMBER(R$2:R$22)),R22)*100</f>
        <v>40.9</v>
      </c>
    </row>
  </sheetData>
  <pageMargins left="0.7" right="0.7" top="0.75" bottom="0.75" header="0.3" footer="0.3"/>
  <ignoredErrors>
    <ignoredError sqref="O2:O22" formula="1"/>
    <ignoredError sqref="R17:S17" evalError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269"/>
  <sheetViews>
    <sheetView zoomScaleNormal="100" workbookViewId="0">
      <pane xSplit="1" topLeftCell="B1" activePane="topRight" state="frozen"/>
      <selection pane="topRight" activeCell="E19" sqref="E19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453125" customWidth="1"/>
    <col min="7" max="7" width="10" customWidth="1"/>
    <col min="8" max="8" width="9.453125" customWidth="1"/>
    <col min="9" max="9" width="12" customWidth="1"/>
    <col min="10" max="10" width="11.54296875" customWidth="1"/>
    <col min="11" max="11" width="34.1796875" bestFit="1" customWidth="1"/>
    <col min="12" max="12" width="17.453125" customWidth="1"/>
    <col min="13" max="13" width="20.1796875" customWidth="1"/>
    <col min="14" max="14" width="13.453125" customWidth="1"/>
    <col min="15" max="15" width="15.54296875" bestFit="1" customWidth="1"/>
    <col min="16" max="16" width="15.453125" customWidth="1"/>
    <col min="17" max="17" width="18.453125" customWidth="1"/>
    <col min="18" max="18" width="18.1796875" bestFit="1" customWidth="1"/>
    <col min="19" max="19" width="14.54296875" bestFit="1" customWidth="1"/>
    <col min="20" max="21" width="17.54296875" customWidth="1"/>
    <col min="22" max="22" width="18.81640625" customWidth="1"/>
    <col min="23" max="23" width="13.453125" customWidth="1"/>
    <col min="24" max="24" width="13" customWidth="1"/>
    <col min="25" max="25" width="14.54296875" style="199" bestFit="1" customWidth="1"/>
    <col min="26" max="26" width="13" customWidth="1"/>
    <col min="27" max="27" width="12.1796875" customWidth="1"/>
    <col min="28" max="28" width="11.453125" customWidth="1"/>
    <col min="29" max="33" width="13.54296875" customWidth="1"/>
    <col min="34" max="34" width="10.453125" customWidth="1"/>
    <col min="35" max="35" width="7" customWidth="1"/>
    <col min="36" max="36" width="9.54296875" customWidth="1"/>
  </cols>
  <sheetData>
    <row r="1" spans="1:39" ht="62.25" customHeight="1" thickBot="1" x14ac:dyDescent="0.4">
      <c r="C1" t="s">
        <v>0</v>
      </c>
      <c r="D1" s="51" t="s">
        <v>905</v>
      </c>
      <c r="E1" s="74" t="s">
        <v>906</v>
      </c>
      <c r="F1" s="74" t="s">
        <v>16</v>
      </c>
      <c r="G1" s="74" t="s">
        <v>66</v>
      </c>
      <c r="H1" s="74" t="s">
        <v>62</v>
      </c>
      <c r="I1" s="74" t="s">
        <v>69</v>
      </c>
      <c r="J1" s="74" t="s">
        <v>77</v>
      </c>
      <c r="K1" t="s">
        <v>68</v>
      </c>
      <c r="L1" t="s">
        <v>392</v>
      </c>
      <c r="M1" t="s">
        <v>393</v>
      </c>
      <c r="N1" t="s">
        <v>915</v>
      </c>
      <c r="O1" t="s">
        <v>4</v>
      </c>
      <c r="P1" t="s">
        <v>5</v>
      </c>
      <c r="Q1" t="s">
        <v>9</v>
      </c>
      <c r="R1" t="s">
        <v>512</v>
      </c>
      <c r="S1" t="s">
        <v>72</v>
      </c>
      <c r="T1" t="s">
        <v>517</v>
      </c>
      <c r="U1" t="s">
        <v>518</v>
      </c>
      <c r="V1" t="s">
        <v>513</v>
      </c>
      <c r="W1" t="s">
        <v>4</v>
      </c>
      <c r="X1" t="s">
        <v>71</v>
      </c>
      <c r="Y1" s="199" t="s">
        <v>72</v>
      </c>
      <c r="Z1" t="s">
        <v>75</v>
      </c>
      <c r="AA1" t="s">
        <v>76</v>
      </c>
      <c r="AB1" t="s">
        <v>77</v>
      </c>
      <c r="AC1" t="s">
        <v>394</v>
      </c>
      <c r="AD1" t="s">
        <v>395</v>
      </c>
      <c r="AE1" s="74" t="s">
        <v>907</v>
      </c>
      <c r="AF1" s="10" t="s">
        <v>780</v>
      </c>
      <c r="AG1" s="11" t="s">
        <v>916</v>
      </c>
      <c r="AJ1" s="1" t="s">
        <v>83</v>
      </c>
      <c r="AK1" t="s">
        <v>84</v>
      </c>
    </row>
    <row r="2" spans="1:39" s="22" customFormat="1" ht="15" thickBot="1" x14ac:dyDescent="0.4">
      <c r="A2" s="21"/>
      <c r="U2" s="23">
        <f>Assumption!E24</f>
        <v>0</v>
      </c>
      <c r="V2" s="23">
        <f>Assumption!E12</f>
        <v>0.4</v>
      </c>
      <c r="W2" s="23">
        <f>Assumption!F12</f>
        <v>0.3</v>
      </c>
      <c r="X2" s="23">
        <f>Assumption!G12</f>
        <v>0.3</v>
      </c>
      <c r="Y2" s="23">
        <f>Assumption!F24</f>
        <v>0</v>
      </c>
      <c r="Z2" s="23">
        <f>Assumption!E20</f>
        <v>0</v>
      </c>
      <c r="AA2" s="23">
        <f>Assumption!G16</f>
        <v>0</v>
      </c>
      <c r="AB2" s="23">
        <f>Assumption!H16</f>
        <v>0</v>
      </c>
      <c r="AC2" s="23">
        <f>Assumption!E16</f>
        <v>0</v>
      </c>
      <c r="AD2" s="23">
        <f>Assumption!F16</f>
        <v>0</v>
      </c>
      <c r="AE2" s="23">
        <f>Assumption!E31</f>
        <v>0</v>
      </c>
      <c r="AF2" s="23">
        <f>Assumption!E28</f>
        <v>0</v>
      </c>
      <c r="AG2" s="23">
        <f>Assumption!F28</f>
        <v>0</v>
      </c>
      <c r="AH2" s="23">
        <f>SUM(U2:AG2)</f>
        <v>1</v>
      </c>
    </row>
    <row r="3" spans="1:39" x14ac:dyDescent="0.35">
      <c r="A3" t="s">
        <v>432</v>
      </c>
      <c r="B3" t="s">
        <v>435</v>
      </c>
      <c r="C3" t="s">
        <v>432</v>
      </c>
      <c r="D3" s="153">
        <f>VLOOKUP(C3,'Market Capitalisation'!$C$2:$G$31,5,FALSE)</f>
        <v>7053963.5</v>
      </c>
      <c r="E3" cm="1">
        <f t="array" ref="E3">_xll.FDS(C3,"FMA_COS_UP(""EPS"",""1M"",+1,NOW,,,""PORTAGG"",""MEANR"")")</f>
        <v>128</v>
      </c>
      <c r="F3" cm="1">
        <f t="array" ref="F3">_xll.FDS(C3,"FMA_COS_DOWN(""EPS"",""1M"",+1,NOW,,,""PORTAGG"",""MEANR"")")</f>
        <v>144</v>
      </c>
      <c r="G3" cm="1">
        <f t="array" ref="G3">_xll.FDS(A3,"SIZE(FG_CONSTITUENTS)")</f>
        <v>485</v>
      </c>
      <c r="H3" s="9">
        <f t="shared" ref="H3:H23" si="0">E3/$G3</f>
        <v>0.26391752577319588</v>
      </c>
      <c r="I3" s="9">
        <f t="shared" ref="I3:I23" si="1">F3/$G3</f>
        <v>0.29690721649484536</v>
      </c>
      <c r="J3" s="9">
        <f t="shared" ref="J3:J23" si="2">H3-I3</f>
        <v>-3.2989690721649478E-2</v>
      </c>
      <c r="K3" s="5" cm="1">
        <f t="array" ref="K3">_xll.FDS(A3,"FMA_PCT_ABOVE_MAVG(200,0,,,,""PORTAGG"")")/100</f>
        <v>0.402061855670103</v>
      </c>
      <c r="L3" s="41" cm="1">
        <f t="array" ref="L3">_xll.FDSB(A3,"PERCENT_CHANGE(FMA_EPS(+1,0,,,,""PORTAGG"",""MEAN""),FMA_EPS(+1,-1AM,,,,""PORTAGG"",""MEAN""))")</f>
        <v>0.44072824952978101</v>
      </c>
      <c r="M3" s="41" cm="1">
        <f t="array" ref="M3">_xll.FDSB(A3,"PERCENT_CHANGE(FMA_EPS(+1,0,,,,""PORTAGG"",""MEAN""),FMA_EPS(+1,-3AM,,,,""PORTAGG"",""MEAN""))")</f>
        <v>-2.6568198057772201</v>
      </c>
      <c r="N3" s="3" cm="1">
        <f t="array" ref="N3">_xll.FDS(C3,"FG_TOTAL_RETURNC(0,-1AM)")</f>
        <v>-1.3719558999999999</v>
      </c>
      <c r="O3" s="3" cm="1">
        <f t="array" ref="O3">_xll.FDS(C3,"FG_TOTAL_RETURNC(0,-3AM)")</f>
        <v>-0.88988540000000005</v>
      </c>
      <c r="P3" s="3" cm="1">
        <f t="array" ref="P3">_xll.FDS(C3,"FG_TOTAL_RETURNC(0,-6AM)")</f>
        <v>6.4681649999999999</v>
      </c>
      <c r="Q3" s="9" cm="1">
        <f t="array" ref="Q3">_xll.FDS(C3,"P_PRICE(0)/P_PRICE_HIGH_PR(0,,,,,,""PRICE"",""INTRA"",""52W"")")</f>
        <v>0.82869035000000002</v>
      </c>
      <c r="R3" s="9" cm="1">
        <f t="array" ref="R3">_xll.FDS(C3,"P_PRICE(0)/P_PRICE_low_PR(0,,,,,,""PRICE"",""INTRA"",""52W"")-1")</f>
        <v>0.12375152</v>
      </c>
      <c r="S3" s="3" cm="1">
        <f t="array" ref="S3">_xll.FDS(C3,"FG_TOTAL_RETURNC(0,-12AM)")</f>
        <v>-8.3124640000000003</v>
      </c>
      <c r="T3" s="4" cm="1">
        <f t="array" ref="T3">_xlfn.PERCENTRANK.EXC(_xlfn._xlws.FILTER($R$3:$R$23, ISNUMBER($R$3:$R$23)),R3)*100</f>
        <v>45.4</v>
      </c>
      <c r="U3" s="4">
        <f t="shared" ref="U3:U23" si="3">100-T3</f>
        <v>54.6</v>
      </c>
      <c r="V3" s="4" cm="1">
        <f t="array" ref="V3">_xlfn.PERCENTRANK.EXC(_xlfn._xlws.FILTER($Q$3:$Q$23, ISNUMBER($Q$3:$Q$23)),Q3)*100</f>
        <v>22.7</v>
      </c>
      <c r="W3" s="4" cm="1">
        <f t="array" ref="W3">_xlfn.PERCENTRANK.EXC(_xlfn._xlws.FILTER($O$3:$O$23, ISNUMBER($O$3:$O$23)),O3)*100</f>
        <v>22.7</v>
      </c>
      <c r="X3" s="4" cm="1">
        <f t="array" ref="X3">_xlfn.PERCENTRANK.EXC(_xlfn._xlws.FILTER($P$3:$P$23, ISNUMBER($P$3:$P$23)),P3)*100</f>
        <v>50</v>
      </c>
      <c r="Y3" s="200" cm="1">
        <f t="array" ref="Y3">_xlfn.PERCENTRANK.EXC(_xlfn._xlws.FILTER($S$3:$S$23, ISNUMBER($S$3:$S$23)),S3)*100</f>
        <v>22.7</v>
      </c>
      <c r="Z3" s="4" cm="1">
        <f t="array" ref="Z3">_xlfn.PERCENTRANK.EXC(_xlfn._xlws.FILTER($K$3:$K$23, ISNUMBER($K$3:$K$23)),K3)*100</f>
        <v>22.7</v>
      </c>
      <c r="AA3" s="4" cm="1">
        <f t="array" ref="AA3">_xlfn.PERCENTRANK.EXC(_xlfn._xlws.FILTER($H$3:$H$23, ISNUMBER($H$3:$H$23)),H3)*100</f>
        <v>36.299999999999997</v>
      </c>
      <c r="AB3" s="4" cm="1">
        <f t="array" ref="AB3">_xlfn.PERCENTRANK.EXC(_xlfn._xlws.FILTER($J$3:$J$23, ISNUMBER($J$3:$J$23)),J3)*100</f>
        <v>45.4</v>
      </c>
      <c r="AC3" s="4">
        <f t="shared" ref="AC3:AC23" si="4">_xlfn.PERCENTRANK.EXC($L$3:$L$23,L3)*100</f>
        <v>63.6</v>
      </c>
      <c r="AD3" s="4">
        <f t="shared" ref="AD3:AD23" si="5">_xlfn.PERCENTRANK.EXC($M$3:$M$23,M3)*100</f>
        <v>40.9</v>
      </c>
      <c r="AE3" s="4">
        <f t="shared" ref="AE3:AE23" si="6">_xlfn.PERCENTRANK.EXC($D$3:$D$23,D3)*100</f>
        <v>90.9</v>
      </c>
      <c r="AF3" s="4">
        <f>'Economic Momentum'!Q4</f>
        <v>40.9</v>
      </c>
      <c r="AG3" s="4">
        <f ca="1">'Economic Momentum'!R4</f>
        <v>59</v>
      </c>
      <c r="AH3" s="4">
        <f t="shared" ref="AH3:AH23" ca="1" si="7">SUMPRODUCT($U$2:$AG$2,U3:AG3)</f>
        <v>30.89</v>
      </c>
      <c r="AJ3" s="3" cm="1">
        <f t="array" aca="1" ref="AJ3" ca="1">_xlfn.PERCENTRANK.EXC(_xlfn._xlws.FILTER($AH$3:$AH$23, ISNUMBER($AH$3:$AH$23)),AH3)*100</f>
        <v>27.200000000000003</v>
      </c>
      <c r="AK3">
        <f t="shared" ref="AK3:AK23" si="8">COUNTIF(V3:AB3,"&gt;70")</f>
        <v>0</v>
      </c>
      <c r="AM3" s="4"/>
    </row>
    <row r="4" spans="1:39" x14ac:dyDescent="0.35">
      <c r="A4" t="s">
        <v>27</v>
      </c>
      <c r="B4" t="s">
        <v>436</v>
      </c>
      <c r="C4" t="s">
        <v>27</v>
      </c>
      <c r="D4" s="153">
        <f>VLOOKUP(C4,'Market Capitalisation'!$C$2:$G$31,5,FALSE)</f>
        <v>142746.32999999999</v>
      </c>
      <c r="E4" cm="1">
        <f t="array" ref="E4">_xll.FDS(C4,"FMA_COS_UP(""EPS"",""1M"",+1,NOW,,,""PORTAGG"",""MEANR"")")</f>
        <v>12</v>
      </c>
      <c r="F4" cm="1">
        <f t="array" ref="F4">_xll.FDS(C4,"FMA_COS_DOWN(""EPS"",""1M"",+1,NOW,,,""PORTAGG"",""MEANR"")")</f>
        <v>9</v>
      </c>
      <c r="G4" cm="1">
        <f t="array" ref="G4">_xll.FDS(A4,"SIZE(FG_CONSTITUENTS)")</f>
        <v>30</v>
      </c>
      <c r="H4" s="9">
        <f t="shared" si="0"/>
        <v>0.4</v>
      </c>
      <c r="I4" s="9">
        <f t="shared" si="1"/>
        <v>0.3</v>
      </c>
      <c r="J4" s="9">
        <f t="shared" si="2"/>
        <v>0.10000000000000003</v>
      </c>
      <c r="K4" s="5" cm="1">
        <f t="array" ref="K4">_xll.FDS(A4,"FMA_PCT_ABOVE_MAVG(200,0,,,,""PORTAGG"")")/100</f>
        <v>0.65517241379310309</v>
      </c>
      <c r="L4" s="41" cm="1">
        <f t="array" ref="L4">_xll.FDSB(A4,"PERCENT_CHANGE(FMA_EPS(+1,0,,,,""PORTAGG"",""MEAN""),FMA_EPS(+1,-1AM,,,,""PORTAGG"",""MEAN""))")</f>
        <v>-5.1611432963042603</v>
      </c>
      <c r="M4" s="41" cm="1">
        <f t="array" ref="M4">_xll.FDSB(A4,"PERCENT_CHANGE(FMA_EPS(+1,0,,,,""PORTAGG"",""MEAN""),FMA_EPS(+1,-3AM,,,,""PORTAGG"",""MEAN""))")</f>
        <v>-6.3198054506228498</v>
      </c>
      <c r="N4" s="3" cm="1">
        <f t="array" ref="N4">_xll.FDS(C4,"FG_TOTAL_RETURNC(0,-1AM)")</f>
        <v>-0.56839585000000004</v>
      </c>
      <c r="O4" s="3" cm="1">
        <f t="array" ref="O4">_xll.FDS(C4,"FG_TOTAL_RETURNC(0,-3AM)")</f>
        <v>2.5537252000000001</v>
      </c>
      <c r="P4" s="3" cm="1">
        <f t="array" ref="P4">_xll.FDS(C4,"FG_TOTAL_RETURNC(0,-6AM)")</f>
        <v>4.9526333999999999</v>
      </c>
      <c r="Q4" s="9" cm="1">
        <f t="array" ref="Q4">_xll.FDS(C4,"P_PRICE(0)/P_PRICE_HIGH_PR(0,,,,,,""PRICE"",""INTRA"",""52W"")")</f>
        <v>0.81846534999999998</v>
      </c>
      <c r="R4" s="9" cm="1">
        <f t="array" ref="R4">_xll.FDS(C4,"P_PRICE(0)/P_PRICE_low_PR(0,,,,,,""PRICE"",""INTRA"",""52W"")-1")</f>
        <v>0.1085763</v>
      </c>
      <c r="S4" s="3" cm="1">
        <f t="array" ref="S4">_xll.FDS(C4,"FG_TOTAL_RETURNC(0,-12AM)")</f>
        <v>-15.253234000000001</v>
      </c>
      <c r="T4" s="4" cm="1">
        <f t="array" ref="T4">_xlfn.PERCENTRANK.EXC(_xlfn._xlws.FILTER($R$3:$R$23, ISNUMBER($R$3:$R$23)),R4)*100</f>
        <v>31.8</v>
      </c>
      <c r="U4" s="4">
        <f t="shared" si="3"/>
        <v>68.2</v>
      </c>
      <c r="V4" s="4" cm="1">
        <f t="array" ref="V4">_xlfn.PERCENTRANK.EXC(_xlfn._xlws.FILTER($Q$3:$Q$23, ISNUMBER($Q$3:$Q$23)),Q4)*100</f>
        <v>13.600000000000001</v>
      </c>
      <c r="W4" s="4" cm="1">
        <f t="array" ref="W4">_xlfn.PERCENTRANK.EXC(_xlfn._xlws.FILTER($O$3:$O$23, ISNUMBER($O$3:$O$23)),O4)*100</f>
        <v>40.9</v>
      </c>
      <c r="X4" s="4" cm="1">
        <f t="array" ref="X4">_xlfn.PERCENTRANK.EXC(_xlfn._xlws.FILTER($P$3:$P$23, ISNUMBER($P$3:$P$23)),P4)*100</f>
        <v>45.4</v>
      </c>
      <c r="Y4" s="200" cm="1">
        <f t="array" ref="Y4">_xlfn.PERCENTRANK.EXC(_xlfn._xlws.FILTER($S$3:$S$23, ISNUMBER($S$3:$S$23)),S4)*100</f>
        <v>4.5</v>
      </c>
      <c r="Z4" s="4" cm="1">
        <f t="array" ref="Z4">_xlfn.PERCENTRANK.EXC(_xlfn._xlws.FILTER($K$3:$K$23, ISNUMBER($K$3:$K$23)),K4)*100</f>
        <v>68.100000000000009</v>
      </c>
      <c r="AA4" s="4" cm="1">
        <f t="array" ref="AA4">_xlfn.PERCENTRANK.EXC(_xlfn._xlws.FILTER($H$3:$H$23, ISNUMBER($H$3:$H$23)),H4)*100</f>
        <v>72.7</v>
      </c>
      <c r="AB4" s="4" cm="1">
        <f t="array" ref="AB4">_xlfn.PERCENTRANK.EXC(_xlfn._xlws.FILTER($J$3:$J$23, ISNUMBER($J$3:$J$23)),J4)*100</f>
        <v>77.2</v>
      </c>
      <c r="AC4" s="4">
        <f t="shared" si="4"/>
        <v>9</v>
      </c>
      <c r="AD4" s="4">
        <f t="shared" si="5"/>
        <v>18.099999999999998</v>
      </c>
      <c r="AE4" s="4">
        <f t="shared" si="6"/>
        <v>18.099999999999998</v>
      </c>
      <c r="AF4" s="4">
        <f>'Economic Momentum'!Q5</f>
        <v>54.500000000000007</v>
      </c>
      <c r="AG4" s="4">
        <f ca="1">'Economic Momentum'!R5</f>
        <v>40.9</v>
      </c>
      <c r="AH4" s="4">
        <f t="shared" ca="1" si="7"/>
        <v>31.33</v>
      </c>
      <c r="AJ4" s="3" cm="1">
        <f t="array" aca="1" ref="AJ4" ca="1">_xlfn.PERCENTRANK.EXC(_xlfn._xlws.FILTER($AH$3:$AH$23, ISNUMBER($AH$3:$AH$23)),AH4)*100</f>
        <v>31.8</v>
      </c>
      <c r="AK4">
        <f t="shared" si="8"/>
        <v>2</v>
      </c>
      <c r="AM4" s="4"/>
    </row>
    <row r="5" spans="1:39" x14ac:dyDescent="0.35">
      <c r="A5" t="s">
        <v>35</v>
      </c>
      <c r="B5" t="s">
        <v>437</v>
      </c>
      <c r="C5" t="s">
        <v>35</v>
      </c>
      <c r="D5" s="153">
        <f>VLOOKUP(C5,'Market Capitalisation'!$C$2:$G$31,5,FALSE)</f>
        <v>675296.44</v>
      </c>
      <c r="E5" cm="1">
        <f t="array" ref="E5">_xll.FDS(C5,"FMA_COS_UP(""EPS"",""1M"",+1,NOW,,,""PORTAGG"",""MEANR"")")</f>
        <v>21</v>
      </c>
      <c r="F5" cm="1">
        <f t="array" ref="F5">_xll.FDS(C5,"FMA_COS_DOWN(""EPS"",""1M"",+1,NOW,,,""PORTAGG"",""MEANR"")")</f>
        <v>21</v>
      </c>
      <c r="G5" cm="1">
        <f t="array" ref="G5">_xll.FDS(A5,"SIZE(FG_CONSTITUENTS)")</f>
        <v>72</v>
      </c>
      <c r="H5" s="9">
        <f t="shared" si="0"/>
        <v>0.29166666666666669</v>
      </c>
      <c r="I5" s="9">
        <f t="shared" si="1"/>
        <v>0.29166666666666669</v>
      </c>
      <c r="J5" s="9">
        <f t="shared" si="2"/>
        <v>0</v>
      </c>
      <c r="K5" s="5" cm="1">
        <f t="array" ref="K5">_xll.FDS(A5,"FMA_PCT_ABOVE_MAVG(200,0,,,,""PORTAGG"")")/100</f>
        <v>0.36619718309859201</v>
      </c>
      <c r="L5" s="41" cm="1">
        <f t="array" ref="L5">_xll.FDSB(A5,"PERCENT_CHANGE(FMA_EPS(+1,0,,,,""PORTAGG"",""MEAN""),FMA_EPS(+1,-1AM,,,,""PORTAGG"",""MEAN""))")</f>
        <v>2.22640562543415</v>
      </c>
      <c r="M5" s="41" cm="1">
        <f t="array" ref="M5">_xll.FDSB(A5,"PERCENT_CHANGE(FMA_EPS(+1,0,,,,""PORTAGG"",""MEAN""),FMA_EPS(+1,-3AM,,,,""PORTAGG"",""MEAN""))")</f>
        <v>-7.8370281101732697</v>
      </c>
      <c r="N5" s="3" cm="1">
        <f t="array" ref="N5">_xll.FDS(C5,"FG_TOTAL_RETURNC(0,-1AM)")</f>
        <v>9.8476649999999992</v>
      </c>
      <c r="O5" s="3" cm="1">
        <f t="array" ref="O5">_xll.FDS(C5,"FG_TOTAL_RETURNC(0,-3AM)")</f>
        <v>0.57693720000000004</v>
      </c>
      <c r="P5" s="3" cm="1">
        <f t="array" ref="P5">_xll.FDS(C5,"FG_TOTAL_RETURNC(0,-6AM)")</f>
        <v>-5.8987436000000004</v>
      </c>
      <c r="Q5" s="9" cm="1">
        <f t="array" ref="Q5">_xll.FDS(C5,"P_PRICE(0)/P_PRICE_HIGH_PR(0,,,,,,""PRICE"",""INTRA"",""52W"")")</f>
        <v>0.84654087</v>
      </c>
      <c r="R5" s="9" cm="1">
        <f t="array" ref="R5">_xll.FDS(C5,"P_PRICE(0)/P_PRICE_low_PR(0,,,,,,""PRICE"",""INTRA"",""52W"")-1")</f>
        <v>0.116086245</v>
      </c>
      <c r="S5" s="3" cm="1">
        <f t="array" ref="S5">_xll.FDS(C5,"FG_TOTAL_RETURNC(0,-12AM)")</f>
        <v>-10.459631999999999</v>
      </c>
      <c r="T5" s="4" cm="1">
        <f t="array" ref="T5">_xlfn.PERCENTRANK.EXC(_xlfn._xlws.FILTER($R$3:$R$23, ISNUMBER($R$3:$R$23)),R5)*100</f>
        <v>36.299999999999997</v>
      </c>
      <c r="U5" s="4">
        <f t="shared" si="3"/>
        <v>63.7</v>
      </c>
      <c r="V5" s="4" cm="1">
        <f t="array" ref="V5">_xlfn.PERCENTRANK.EXC(_xlfn._xlws.FILTER($Q$3:$Q$23, ISNUMBER($Q$3:$Q$23)),Q5)*100</f>
        <v>36.299999999999997</v>
      </c>
      <c r="W5" s="4" cm="1">
        <f t="array" ref="W5">_xlfn.PERCENTRANK.EXC(_xlfn._xlws.FILTER($O$3:$O$23, ISNUMBER($O$3:$O$23)),O5)*100</f>
        <v>27.200000000000003</v>
      </c>
      <c r="X5" s="4" cm="1">
        <f t="array" ref="X5">_xlfn.PERCENTRANK.EXC(_xlfn._xlws.FILTER($P$3:$P$23, ISNUMBER($P$3:$P$23)),P5)*100</f>
        <v>18.099999999999998</v>
      </c>
      <c r="Y5" s="200" cm="1">
        <f t="array" ref="Y5">_xlfn.PERCENTRANK.EXC(_xlfn._xlws.FILTER($S$3:$S$23, ISNUMBER($S$3:$S$23)),S5)*100</f>
        <v>13.600000000000001</v>
      </c>
      <c r="Z5" s="4" cm="1">
        <f t="array" ref="Z5">_xlfn.PERCENTRANK.EXC(_xlfn._xlws.FILTER($K$3:$K$23, ISNUMBER($K$3:$K$23)),K5)*100</f>
        <v>18.099999999999998</v>
      </c>
      <c r="AA5" s="4" cm="1">
        <f t="array" ref="AA5">_xlfn.PERCENTRANK.EXC(_xlfn._xlws.FILTER($H$3:$H$23, ISNUMBER($H$3:$H$23)),H5)*100</f>
        <v>45.4</v>
      </c>
      <c r="AB5" s="4" cm="1">
        <f t="array" ref="AB5">_xlfn.PERCENTRANK.EXC(_xlfn._xlws.FILTER($J$3:$J$23, ISNUMBER($J$3:$J$23)),J5)*100</f>
        <v>50</v>
      </c>
      <c r="AC5" s="4">
        <f t="shared" si="4"/>
        <v>72.7</v>
      </c>
      <c r="AD5" s="4">
        <f t="shared" si="5"/>
        <v>9</v>
      </c>
      <c r="AE5" s="4">
        <f t="shared" si="6"/>
        <v>59</v>
      </c>
      <c r="AF5" s="4">
        <f>'Economic Momentum'!Q6</f>
        <v>22.7</v>
      </c>
      <c r="AG5" s="4">
        <f ca="1">'Economic Momentum'!R6</f>
        <v>9</v>
      </c>
      <c r="AH5" s="4">
        <f t="shared" ca="1" si="7"/>
        <v>28.11</v>
      </c>
      <c r="AJ5" s="3" cm="1">
        <f t="array" aca="1" ref="AJ5" ca="1">_xlfn.PERCENTRANK.EXC(_xlfn._xlws.FILTER($AH$3:$AH$23, ISNUMBER($AH$3:$AH$23)),AH5)*100</f>
        <v>22.7</v>
      </c>
      <c r="AK5">
        <f t="shared" si="8"/>
        <v>0</v>
      </c>
      <c r="AM5" s="4"/>
    </row>
    <row r="6" spans="1:39" x14ac:dyDescent="0.35">
      <c r="A6" t="s">
        <v>30</v>
      </c>
      <c r="B6" t="s">
        <v>438</v>
      </c>
      <c r="C6" t="s">
        <v>30</v>
      </c>
      <c r="D6" s="153">
        <f>VLOOKUP(C6,'Market Capitalisation'!$C$2:$G$31,5,FALSE)</f>
        <v>212672.06</v>
      </c>
      <c r="E6" cm="1">
        <f t="array" ref="E6">_xll.FDS(C6,"FMA_COS_UP(""EPS"",""1M"",+1,NOW,,,""PORTAGG"",""MEANR"")")</f>
        <v>9</v>
      </c>
      <c r="F6" cm="1">
        <f t="array" ref="F6">_xll.FDS(C6,"FMA_COS_DOWN(""EPS"",""1M"",+1,NOW,,,""PORTAGG"",""MEANR"")")</f>
        <v>17</v>
      </c>
      <c r="G6" cm="1">
        <f t="array" ref="G6">_xll.FDS(A6,"SIZE(FG_CONSTITUENTS)")</f>
        <v>33</v>
      </c>
      <c r="H6" s="9">
        <f t="shared" si="0"/>
        <v>0.27272727272727271</v>
      </c>
      <c r="I6" s="9">
        <f t="shared" si="1"/>
        <v>0.51515151515151514</v>
      </c>
      <c r="J6" s="9">
        <f t="shared" si="2"/>
        <v>-0.24242424242424243</v>
      </c>
      <c r="K6" s="5" cm="1">
        <f t="array" ref="K6">_xll.FDS(A6,"FMA_PCT_ABOVE_MAVG(200,0,,,,""PORTAGG"")")/100</f>
        <v>0.54545454545454497</v>
      </c>
      <c r="L6" s="41" cm="1">
        <f t="array" ref="L6">_xll.FDSB(A6,"PERCENT_CHANGE(FMA_EPS(+1,0,,,,""PORTAGG"",""MEAN""),FMA_EPS(+1,-1AM,,,,""PORTAGG"",""MEAN""))")</f>
        <v>-3.1599502674234299</v>
      </c>
      <c r="M6" s="41" cm="1">
        <f t="array" ref="M6">_xll.FDSB(A6,"PERCENT_CHANGE(FMA_EPS(+1,0,,,,""PORTAGG"",""MEAN""),FMA_EPS(+1,-3AM,,,,""PORTAGG"",""MEAN""))")</f>
        <v>-4.4372227269966302</v>
      </c>
      <c r="N6" s="3" cm="1">
        <f t="array" ref="N6">_xll.FDS(C6,"FG_TOTAL_RETURNC(0,-1AM)")</f>
        <v>6.5860750000000001</v>
      </c>
      <c r="O6" s="3" cm="1">
        <f t="array" ref="O6">_xll.FDS(C6,"FG_TOTAL_RETURNC(0,-3AM)")</f>
        <v>4.9165844999999999</v>
      </c>
      <c r="P6" s="3" cm="1">
        <f t="array" ref="P6">_xll.FDS(C6,"FG_TOTAL_RETURNC(0,-6AM)")</f>
        <v>-1.2540340000000001</v>
      </c>
      <c r="Q6" s="9" cm="1">
        <f t="array" ref="Q6">_xll.FDS(C6,"P_PRICE(0)/P_PRICE_HIGH_PR(0,,,,,,""PRICE"",""INTRA"",""52W"")")</f>
        <v>0.91093694999999997</v>
      </c>
      <c r="R6" s="9" cm="1">
        <f t="array" ref="R6">_xll.FDS(C6,"P_PRICE(0)/P_PRICE_low_PR(0,,,,,,""PRICE"",""INTRA"",""52W"")-1")</f>
        <v>0.10596883</v>
      </c>
      <c r="S6" s="3" cm="1">
        <f t="array" ref="S6">_xll.FDS(C6,"FG_TOTAL_RETURNC(0,-12AM)")</f>
        <v>-2.3889960000000001</v>
      </c>
      <c r="T6" s="4" cm="1">
        <f t="array" ref="T6">_xlfn.PERCENTRANK.EXC(_xlfn._xlws.FILTER($R$3:$R$23, ISNUMBER($R$3:$R$23)),R6)*100</f>
        <v>27.200000000000003</v>
      </c>
      <c r="U6" s="4">
        <f t="shared" si="3"/>
        <v>72.8</v>
      </c>
      <c r="V6" s="4" cm="1">
        <f t="array" ref="V6">_xlfn.PERCENTRANK.EXC(_xlfn._xlws.FILTER($Q$3:$Q$23, ISNUMBER($Q$3:$Q$23)),Q6)*100</f>
        <v>50</v>
      </c>
      <c r="W6" s="4" cm="1">
        <f t="array" ref="W6">_xlfn.PERCENTRANK.EXC(_xlfn._xlws.FILTER($O$3:$O$23, ISNUMBER($O$3:$O$23)),O6)*100</f>
        <v>50</v>
      </c>
      <c r="X6" s="4" cm="1">
        <f t="array" ref="X6">_xlfn.PERCENTRANK.EXC(_xlfn._xlws.FILTER($P$3:$P$23, ISNUMBER($P$3:$P$23)),P6)*100</f>
        <v>27.200000000000003</v>
      </c>
      <c r="Y6" s="200" cm="1">
        <f t="array" ref="Y6">_xlfn.PERCENTRANK.EXC(_xlfn._xlws.FILTER($S$3:$S$23, ISNUMBER($S$3:$S$23)),S6)*100</f>
        <v>40.9</v>
      </c>
      <c r="Z6" s="4" cm="1">
        <f t="array" ref="Z6">_xlfn.PERCENTRANK.EXC(_xlfn._xlws.FILTER($K$3:$K$23, ISNUMBER($K$3:$K$23)),K6)*100</f>
        <v>45.4</v>
      </c>
      <c r="AA6" s="4" cm="1">
        <f t="array" ref="AA6">_xlfn.PERCENTRANK.EXC(_xlfn._xlws.FILTER($H$3:$H$23, ISNUMBER($H$3:$H$23)),H6)*100</f>
        <v>40.9</v>
      </c>
      <c r="AB6" s="4" cm="1">
        <f t="array" ref="AB6">_xlfn.PERCENTRANK.EXC(_xlfn._xlws.FILTER($J$3:$J$23, ISNUMBER($J$3:$J$23)),J6)*100</f>
        <v>13.600000000000001</v>
      </c>
      <c r="AC6" s="4">
        <f t="shared" si="4"/>
        <v>18.099999999999998</v>
      </c>
      <c r="AD6" s="4">
        <f t="shared" si="5"/>
        <v>27.200000000000003</v>
      </c>
      <c r="AE6" s="4">
        <f t="shared" si="6"/>
        <v>31.8</v>
      </c>
      <c r="AF6" s="4">
        <f>'Economic Momentum'!Q7</f>
        <v>31.8</v>
      </c>
      <c r="AG6" s="4">
        <f ca="1">'Economic Momentum'!R7</f>
        <v>77.2</v>
      </c>
      <c r="AH6" s="4">
        <f t="shared" ca="1" si="7"/>
        <v>43.16</v>
      </c>
      <c r="AJ6" s="3" cm="1">
        <f t="array" aca="1" ref="AJ6" ca="1">_xlfn.PERCENTRANK.EXC(_xlfn._xlws.FILTER($AH$3:$AH$23, ISNUMBER($AH$3:$AH$23)),AH6)*100</f>
        <v>50</v>
      </c>
      <c r="AK6">
        <f t="shared" si="8"/>
        <v>0</v>
      </c>
      <c r="AM6" s="4"/>
    </row>
    <row r="7" spans="1:39" x14ac:dyDescent="0.35">
      <c r="A7" t="s">
        <v>23</v>
      </c>
      <c r="B7" t="s">
        <v>439</v>
      </c>
      <c r="C7" t="s">
        <v>23</v>
      </c>
      <c r="D7" s="153">
        <f>VLOOKUP(C7,'Market Capitalisation'!$C$2:$G$31,5,FALSE)</f>
        <v>208133.77</v>
      </c>
      <c r="E7" cm="1">
        <f t="array" ref="E7">_xll.FDS(C7,"FMA_COS_UP(""EPS"",""1M"",+1,NOW,,,""PORTAGG"",""MEANR"")")</f>
        <v>17</v>
      </c>
      <c r="F7" cm="1">
        <f t="array" ref="F7">_xll.FDS(C7,"FMA_COS_DOWN(""EPS"",""1M"",+1,NOW,,,""PORTAGG"",""MEANR"")")</f>
        <v>8</v>
      </c>
      <c r="G7" cm="1">
        <f t="array" ref="G7">_xll.FDS(A7,"SIZE(FG_CONSTITUENTS)")</f>
        <v>34</v>
      </c>
      <c r="H7" s="9">
        <f t="shared" si="0"/>
        <v>0.5</v>
      </c>
      <c r="I7" s="9">
        <f t="shared" si="1"/>
        <v>0.23529411764705882</v>
      </c>
      <c r="J7" s="9">
        <f t="shared" si="2"/>
        <v>0.26470588235294118</v>
      </c>
      <c r="K7" s="5" cm="1">
        <f t="array" ref="K7">_xll.FDS(A7,"FMA_PCT_ABOVE_MAVG(200,0,,,,""PORTAGG"")")/100</f>
        <v>0.63636363636363602</v>
      </c>
      <c r="L7" s="41" cm="1">
        <f t="array" ref="L7">_xll.FDSB(A7,"PERCENT_CHANGE(FMA_EPS(+1,0,,,,""PORTAGG"",""MEAN""),FMA_EPS(+1,-1AM,,,,""PORTAGG"",""MEAN""))")</f>
        <v>3.45142256911886</v>
      </c>
      <c r="M7" s="41" cm="1">
        <f t="array" ref="M7">_xll.FDSB(A7,"PERCENT_CHANGE(FMA_EPS(+1,0,,,,""PORTAGG"",""MEAN""),FMA_EPS(+1,-3AM,,,,""PORTAGG"",""MEAN""))")</f>
        <v>-1.36735148501102</v>
      </c>
      <c r="N7" s="3" cm="1">
        <f t="array" ref="N7">_xll.FDS(C7,"FG_TOTAL_RETURNC(0,-1AM)")</f>
        <v>3.6989808000000002</v>
      </c>
      <c r="O7" s="3" cm="1">
        <f t="array" ref="O7">_xll.FDS(C7,"FG_TOTAL_RETURNC(0,-3AM)")</f>
        <v>6.5973759999999997</v>
      </c>
      <c r="P7" s="3" cm="1">
        <f t="array" ref="P7">_xll.FDS(C7,"FG_TOTAL_RETURNC(0,-6AM)")</f>
        <v>17.317509000000001</v>
      </c>
      <c r="Q7" s="9" cm="1">
        <f t="array" ref="Q7">_xll.FDS(C7,"P_PRICE(0)/P_PRICE_HIGH_PR(0,,,,,,""PRICE"",""INTRA"",""52W"")")</f>
        <v>0.93484089999999997</v>
      </c>
      <c r="R7" s="9" cm="1">
        <f t="array" ref="R7">_xll.FDS(C7,"P_PRICE(0)/P_PRICE_low_PR(0,,,,,,""PRICE"",""INTRA"",""52W"")-1")</f>
        <v>0.48538363000000001</v>
      </c>
      <c r="S7" s="3" cm="1">
        <f t="array" ref="S7">_xll.FDS(C7,"FG_TOTAL_RETURNC(0,-12AM)")</f>
        <v>21.956121</v>
      </c>
      <c r="T7" s="4" cm="1">
        <f t="array" ref="T7">_xlfn.PERCENTRANK.EXC(_xlfn._xlws.FILTER($R$3:$R$23, ISNUMBER($R$3:$R$23)),R7)*100</f>
        <v>95.399999999999991</v>
      </c>
      <c r="U7" s="4">
        <f t="shared" si="3"/>
        <v>4.6000000000000085</v>
      </c>
      <c r="V7" s="4" cm="1">
        <f t="array" ref="V7">_xlfn.PERCENTRANK.EXC(_xlfn._xlws.FILTER($Q$3:$Q$23, ISNUMBER($Q$3:$Q$23)),Q7)*100</f>
        <v>68.100000000000009</v>
      </c>
      <c r="W7" s="4" cm="1">
        <f t="array" ref="W7">_xlfn.PERCENTRANK.EXC(_xlfn._xlws.FILTER($O$3:$O$23, ISNUMBER($O$3:$O$23)),O7)*100</f>
        <v>63.6</v>
      </c>
      <c r="X7" s="4" cm="1">
        <f t="array" ref="X7">_xlfn.PERCENTRANK.EXC(_xlfn._xlws.FILTER($P$3:$P$23, ISNUMBER($P$3:$P$23)),P7)*100</f>
        <v>81.8</v>
      </c>
      <c r="Y7" s="200" cm="1">
        <f t="array" ref="Y7">_xlfn.PERCENTRANK.EXC(_xlfn._xlws.FILTER($S$3:$S$23, ISNUMBER($S$3:$S$23)),S7)*100</f>
        <v>77.2</v>
      </c>
      <c r="Z7" s="4" cm="1">
        <f t="array" ref="Z7">_xlfn.PERCENTRANK.EXC(_xlfn._xlws.FILTER($K$3:$K$23, ISNUMBER($K$3:$K$23)),K7)*100</f>
        <v>59</v>
      </c>
      <c r="AA7" s="4" cm="1">
        <f t="array" ref="AA7">_xlfn.PERCENTRANK.EXC(_xlfn._xlws.FILTER($H$3:$H$23, ISNUMBER($H$3:$H$23)),H7)*100</f>
        <v>90.9</v>
      </c>
      <c r="AB7" s="4" cm="1">
        <f t="array" ref="AB7">_xlfn.PERCENTRANK.EXC(_xlfn._xlws.FILTER($J$3:$J$23, ISNUMBER($J$3:$J$23)),J7)*100</f>
        <v>90.9</v>
      </c>
      <c r="AC7" s="4">
        <f t="shared" si="4"/>
        <v>81.8</v>
      </c>
      <c r="AD7" s="4">
        <f t="shared" si="5"/>
        <v>54.500000000000007</v>
      </c>
      <c r="AE7" s="4">
        <f t="shared" si="6"/>
        <v>27.200000000000003</v>
      </c>
      <c r="AF7" s="4">
        <f>'Economic Momentum'!Q8</f>
        <v>4.5</v>
      </c>
      <c r="AG7" s="4">
        <f ca="1">'Economic Momentum'!R8</f>
        <v>4.5</v>
      </c>
      <c r="AH7" s="4">
        <f t="shared" ca="1" si="7"/>
        <v>70.860000000000014</v>
      </c>
      <c r="AJ7" s="3" cm="1">
        <f t="array" aca="1" ref="AJ7" ca="1">_xlfn.PERCENTRANK.EXC(_xlfn._xlws.FILTER($AH$3:$AH$23, ISNUMBER($AH$3:$AH$23)),AH7)*100</f>
        <v>68.100000000000009</v>
      </c>
      <c r="AK7">
        <f t="shared" si="8"/>
        <v>4</v>
      </c>
      <c r="AM7" s="4"/>
    </row>
    <row r="8" spans="1:39" x14ac:dyDescent="0.35">
      <c r="A8" t="s">
        <v>29</v>
      </c>
      <c r="B8" t="s">
        <v>440</v>
      </c>
      <c r="C8" t="s">
        <v>29</v>
      </c>
      <c r="D8" s="153">
        <f>VLOOKUP(C8,'Market Capitalisation'!$C$2:$G$31,5,FALSE)</f>
        <v>37386.44</v>
      </c>
      <c r="E8" cm="1">
        <f t="array" ref="E8">_xll.FDS(C8,"FMA_COS_UP(""EPS"",""1M"",+1,NOW,,,""PORTAGG"",""MEANR"")")</f>
        <v>11</v>
      </c>
      <c r="F8" cm="1">
        <f t="array" ref="F8">_xll.FDS(C8,"FMA_COS_DOWN(""EPS"",""1M"",+1,NOW,,,""PORTAGG"",""MEANR"")")</f>
        <v>3</v>
      </c>
      <c r="G8" cm="1">
        <f t="array" ref="G8">_xll.FDS(A8,"SIZE(FG_CONSTITUENTS)")</f>
        <v>26</v>
      </c>
      <c r="H8" s="9">
        <f t="shared" si="0"/>
        <v>0.42307692307692307</v>
      </c>
      <c r="I8" s="9">
        <f t="shared" si="1"/>
        <v>0.11538461538461539</v>
      </c>
      <c r="J8" s="9">
        <f t="shared" si="2"/>
        <v>0.30769230769230771</v>
      </c>
      <c r="K8" s="5" cm="1">
        <f t="array" ref="K8">_xll.FDS(A8,"FMA_PCT_ABOVE_MAVG(200,0,,,,""PORTAGG"")")/100</f>
        <v>0.80769230769230804</v>
      </c>
      <c r="L8" s="41" cm="1">
        <f t="array" ref="L8">_xll.FDSB(A8,"PERCENT_CHANGE(FMA_EPS(+1,0,,,,""PORTAGG"",""MEAN""),FMA_EPS(+1,-1AM,,,,""PORTAGG"",""MEAN""))")</f>
        <v>2.5988648648770298</v>
      </c>
      <c r="M8" s="41" cm="1">
        <f t="array" ref="M8">_xll.FDSB(A8,"PERCENT_CHANGE(FMA_EPS(+1,0,,,,""PORTAGG"",""MEAN""),FMA_EPS(+1,-3AM,,,,""PORTAGG"",""MEAN""))")</f>
        <v>10.1082102256286</v>
      </c>
      <c r="N8" s="3" cm="1">
        <f t="array" ref="N8">_xll.FDS(C8,"FG_TOTAL_RETURNC(0,-1AM)")</f>
        <v>1.7234921000000001</v>
      </c>
      <c r="O8" s="3" cm="1">
        <f t="array" ref="O8">_xll.FDS(C8,"FG_TOTAL_RETURNC(0,-3AM)")</f>
        <v>4.9656152999999996</v>
      </c>
      <c r="P8" s="3" cm="1">
        <f t="array" ref="P8">_xll.FDS(C8,"FG_TOTAL_RETURNC(0,-6AM)")</f>
        <v>26.297401000000001</v>
      </c>
      <c r="Q8" s="9" cm="1">
        <f t="array" ref="Q8">_xll.FDS(C8,"P_PRICE(0)/P_PRICE_HIGH_PR(0,,,,,,""PRICE"",""INTRA"",""52W"")")</f>
        <v>0.91216370000000002</v>
      </c>
      <c r="R8" s="9" cm="1">
        <f t="array" ref="R8">_xll.FDS(C8,"P_PRICE(0)/P_PRICE_low_PR(0,,,,,,""PRICE"",""INTRA"",""52W"")-1")</f>
        <v>0.43677759999999999</v>
      </c>
      <c r="S8" s="3" cm="1">
        <f t="array" ref="S8">_xll.FDS(C8,"FG_TOTAL_RETURNC(0,-12AM)")</f>
        <v>30.460249999999998</v>
      </c>
      <c r="T8" s="4" cm="1">
        <f t="array" ref="T8">_xlfn.PERCENTRANK.EXC(_xlfn._xlws.FILTER($R$3:$R$23, ISNUMBER($R$3:$R$23)),R8)*100</f>
        <v>90.9</v>
      </c>
      <c r="U8" s="4">
        <f t="shared" si="3"/>
        <v>9.0999999999999943</v>
      </c>
      <c r="V8" s="4" cm="1">
        <f t="array" ref="V8">_xlfn.PERCENTRANK.EXC(_xlfn._xlws.FILTER($Q$3:$Q$23, ISNUMBER($Q$3:$Q$23)),Q8)*100</f>
        <v>54.500000000000007</v>
      </c>
      <c r="W8" s="4" cm="1">
        <f t="array" ref="W8">_xlfn.PERCENTRANK.EXC(_xlfn._xlws.FILTER($O$3:$O$23, ISNUMBER($O$3:$O$23)),O8)*100</f>
        <v>54.500000000000007</v>
      </c>
      <c r="X8" s="4" cm="1">
        <f t="array" ref="X8">_xlfn.PERCENTRANK.EXC(_xlfn._xlws.FILTER($P$3:$P$23, ISNUMBER($P$3:$P$23)),P8)*100</f>
        <v>90.9</v>
      </c>
      <c r="Y8" s="200" cm="1">
        <f t="array" ref="Y8">_xlfn.PERCENTRANK.EXC(_xlfn._xlws.FILTER($S$3:$S$23, ISNUMBER($S$3:$S$23)),S8)*100</f>
        <v>90.9</v>
      </c>
      <c r="Z8" s="4" cm="1">
        <f t="array" ref="Z8">_xlfn.PERCENTRANK.EXC(_xlfn._xlws.FILTER($K$3:$K$23, ISNUMBER($K$3:$K$23)),K8)*100</f>
        <v>90.9</v>
      </c>
      <c r="AA8" s="4" cm="1">
        <f t="array" ref="AA8">_xlfn.PERCENTRANK.EXC(_xlfn._xlws.FILTER($H$3:$H$23, ISNUMBER($H$3:$H$23)),H8)*100</f>
        <v>81.8</v>
      </c>
      <c r="AB8" s="4" cm="1">
        <f t="array" ref="AB8">_xlfn.PERCENTRANK.EXC(_xlfn._xlws.FILTER($J$3:$J$23, ISNUMBER($J$3:$J$23)),J8)*100</f>
        <v>95.399999999999991</v>
      </c>
      <c r="AC8" s="4">
        <f t="shared" si="4"/>
        <v>77.2</v>
      </c>
      <c r="AD8" s="4">
        <f t="shared" si="5"/>
        <v>95.399999999999991</v>
      </c>
      <c r="AE8" s="4">
        <f t="shared" si="6"/>
        <v>9</v>
      </c>
      <c r="AF8" s="4">
        <f>'Economic Momentum'!Q9</f>
        <v>54.500000000000007</v>
      </c>
      <c r="AG8" s="4">
        <f ca="1">'Economic Momentum'!R9</f>
        <v>40.9</v>
      </c>
      <c r="AH8" s="4">
        <f t="shared" ca="1" si="7"/>
        <v>65.42</v>
      </c>
      <c r="AJ8" s="3" cm="1">
        <f t="array" aca="1" ref="AJ8" ca="1">_xlfn.PERCENTRANK.EXC(_xlfn._xlws.FILTER($AH$3:$AH$23, ISNUMBER($AH$3:$AH$23)),AH8)*100</f>
        <v>63.6</v>
      </c>
      <c r="AK8">
        <f t="shared" si="8"/>
        <v>5</v>
      </c>
      <c r="AM8" s="4"/>
    </row>
    <row r="9" spans="1:39" x14ac:dyDescent="0.35">
      <c r="A9" t="s">
        <v>33</v>
      </c>
      <c r="B9" t="s">
        <v>441</v>
      </c>
      <c r="C9" t="s">
        <v>33</v>
      </c>
      <c r="D9" s="153">
        <f>VLOOKUP(C9,'Market Capitalisation'!$C$2:$G$31,5,FALSE)</f>
        <v>412174.94</v>
      </c>
      <c r="E9" cm="1">
        <f t="array" ref="E9">_xll.FDS(C9,"FMA_COS_UP(""EPS"",""1M"",+1,NOW,,,""PORTAGG"",""MEANR"")")</f>
        <v>10</v>
      </c>
      <c r="F9" cm="1">
        <f t="array" ref="F9">_xll.FDS(C9,"FMA_COS_DOWN(""EPS"",""1M"",+1,NOW,,,""PORTAGG"",""MEANR"")")</f>
        <v>9</v>
      </c>
      <c r="G9" cm="1">
        <f t="array" ref="G9">_xll.FDS(A9,"SIZE(FG_CONSTITUENTS)")</f>
        <v>33</v>
      </c>
      <c r="H9" s="9">
        <f t="shared" si="0"/>
        <v>0.30303030303030304</v>
      </c>
      <c r="I9" s="9">
        <f t="shared" si="1"/>
        <v>0.27272727272727271</v>
      </c>
      <c r="J9" s="9">
        <f t="shared" si="2"/>
        <v>3.0303030303030332E-2</v>
      </c>
      <c r="K9" s="5" cm="1">
        <f t="array" ref="K9">_xll.FDS(A9,"FMA_PCT_ABOVE_MAVG(200,0,,,,""PORTAGG"")")/100</f>
        <v>0.63636363636363602</v>
      </c>
      <c r="L9" s="41" cm="1">
        <f t="array" ref="L9">_xll.FDSB(A9,"PERCENT_CHANGE(FMA_EPS(+1,0,,,,""PORTAGG"",""MEAN""),FMA_EPS(+1,-1AM,,,,""PORTAGG"",""MEAN""))")</f>
        <v>-0.38572031064971501</v>
      </c>
      <c r="M9" s="41" cm="1">
        <f t="array" ref="M9">_xll.FDSB(A9,"PERCENT_CHANGE(FMA_EPS(+1,0,,,,""PORTAGG"",""MEAN""),FMA_EPS(+1,-3AM,,,,""PORTAGG"",""MEAN""))")</f>
        <v>2.2131069409650501</v>
      </c>
      <c r="N9" s="3" cm="1">
        <f t="array" ref="N9">_xll.FDS(C9,"FG_TOTAL_RETURNC(0,-1AM)")</f>
        <v>1.9264460000000001</v>
      </c>
      <c r="O9" s="3" cm="1">
        <f t="array" ref="O9">_xll.FDS(C9,"FG_TOTAL_RETURNC(0,-3AM)")</f>
        <v>8.6989040000000006</v>
      </c>
      <c r="P9" s="3" cm="1">
        <f t="array" ref="P9">_xll.FDS(C9,"FG_TOTAL_RETURNC(0,-6AM)")</f>
        <v>12.579166000000001</v>
      </c>
      <c r="Q9" s="9" cm="1">
        <f t="array" ref="Q9">_xll.FDS(C9,"P_PRICE(0)/P_PRICE_HIGH_PR(0,,,,,,""PRICE"",""INTRA"",""52W"")")</f>
        <v>0.99000644999999998</v>
      </c>
      <c r="R9" s="9" cm="1">
        <f t="array" ref="R9">_xll.FDS(C9,"P_PRICE(0)/P_PRICE_low_PR(0,,,,,,""PRICE"",""INTRA"",""52W"")-1")</f>
        <v>0.14736319000000001</v>
      </c>
      <c r="S9" s="3" cm="1">
        <f t="array" ref="S9">_xll.FDS(C9,"FG_TOTAL_RETURNC(0,-12AM)")</f>
        <v>15.061892</v>
      </c>
      <c r="T9" s="4" cm="1">
        <f t="array" ref="T9">_xlfn.PERCENTRANK.EXC(_xlfn._xlws.FILTER($R$3:$R$23, ISNUMBER($R$3:$R$23)),R9)*100</f>
        <v>50</v>
      </c>
      <c r="U9" s="4">
        <f t="shared" si="3"/>
        <v>50</v>
      </c>
      <c r="V9" s="4" cm="1">
        <f t="array" ref="V9">_xlfn.PERCENTRANK.EXC(_xlfn._xlws.FILTER($Q$3:$Q$23, ISNUMBER($Q$3:$Q$23)),Q9)*100</f>
        <v>95.399999999999991</v>
      </c>
      <c r="W9" s="4" cm="1">
        <f t="array" ref="W9">_xlfn.PERCENTRANK.EXC(_xlfn._xlws.FILTER($O$3:$O$23, ISNUMBER($O$3:$O$23)),O9)*100</f>
        <v>72.7</v>
      </c>
      <c r="X9" s="4" cm="1">
        <f t="array" ref="X9">_xlfn.PERCENTRANK.EXC(_xlfn._xlws.FILTER($P$3:$P$23, ISNUMBER($P$3:$P$23)),P9)*100</f>
        <v>63.6</v>
      </c>
      <c r="Y9" s="200" cm="1">
        <f t="array" ref="Y9">_xlfn.PERCENTRANK.EXC(_xlfn._xlws.FILTER($S$3:$S$23, ISNUMBER($S$3:$S$23)),S9)*100</f>
        <v>72.7</v>
      </c>
      <c r="Z9" s="4" cm="1">
        <f t="array" ref="Z9">_xlfn.PERCENTRANK.EXC(_xlfn._xlws.FILTER($K$3:$K$23, ISNUMBER($K$3:$K$23)),K9)*100</f>
        <v>59</v>
      </c>
      <c r="AA9" s="4" cm="1">
        <f t="array" ref="AA9">_xlfn.PERCENTRANK.EXC(_xlfn._xlws.FILTER($H$3:$H$23, ISNUMBER($H$3:$H$23)),H9)*100</f>
        <v>50</v>
      </c>
      <c r="AB9" s="4" cm="1">
        <f t="array" ref="AB9">_xlfn.PERCENTRANK.EXC(_xlfn._xlws.FILTER($J$3:$J$23, ISNUMBER($J$3:$J$23)),J9)*100</f>
        <v>68.100000000000009</v>
      </c>
      <c r="AC9" s="4">
        <f t="shared" si="4"/>
        <v>59</v>
      </c>
      <c r="AD9" s="4">
        <f t="shared" si="5"/>
        <v>72.7</v>
      </c>
      <c r="AE9" s="4">
        <f t="shared" si="6"/>
        <v>40.9</v>
      </c>
      <c r="AF9" s="4">
        <f>'Economic Momentum'!Q10</f>
        <v>18.099999999999998</v>
      </c>
      <c r="AG9" s="4">
        <f ca="1">'Economic Momentum'!R10</f>
        <v>68.100000000000009</v>
      </c>
      <c r="AH9" s="4">
        <f t="shared" ca="1" si="7"/>
        <v>79.05</v>
      </c>
      <c r="AJ9" s="3" cm="1">
        <f t="array" aca="1" ref="AJ9" ca="1">_xlfn.PERCENTRANK.EXC(_xlfn._xlws.FILTER($AH$3:$AH$23, ISNUMBER($AH$3:$AH$23)),AH9)*100</f>
        <v>81.8</v>
      </c>
      <c r="AK9">
        <f t="shared" si="8"/>
        <v>3</v>
      </c>
      <c r="AM9" s="4"/>
    </row>
    <row r="10" spans="1:39" x14ac:dyDescent="0.35">
      <c r="A10" t="s">
        <v>24</v>
      </c>
      <c r="B10" t="s">
        <v>40</v>
      </c>
      <c r="C10" t="s">
        <v>24</v>
      </c>
      <c r="D10" s="153">
        <f>VLOOKUP(C10,'Market Capitalisation'!$C$2:$G$31,5,FALSE)</f>
        <v>2429504.2999999998</v>
      </c>
      <c r="E10" cm="1">
        <f t="array" ref="E10">_xll.FDS(C10,"FMA_COS_UP(""EPS"",""1M"",+1,NOW,,,""PORTAGG"",""MEANR"")")</f>
        <v>35</v>
      </c>
      <c r="F10" cm="1">
        <f t="array" ref="F10">_xll.FDS(C10,"FMA_COS_DOWN(""EPS"",""1M"",+1,NOW,,,""PORTAGG"",""MEANR"")")</f>
        <v>25</v>
      </c>
      <c r="G10" cm="1">
        <f t="array" ref="G10">_xll.FDS(A10,"SIZE(FG_CONSTITUENTS)")</f>
        <v>90</v>
      </c>
      <c r="H10" s="9">
        <f t="shared" si="0"/>
        <v>0.3888888888888889</v>
      </c>
      <c r="I10" s="9">
        <f t="shared" si="1"/>
        <v>0.27777777777777779</v>
      </c>
      <c r="J10" s="9">
        <f t="shared" si="2"/>
        <v>0.1111111111111111</v>
      </c>
      <c r="K10" s="5" cm="1">
        <f t="array" ref="K10">_xll.FDS(A10,"FMA_PCT_ABOVE_MAVG(200,0,,,,""PORTAGG"")")/100</f>
        <v>0.75280898876404512</v>
      </c>
      <c r="L10" s="41" cm="1">
        <f t="array" ref="L10">_xll.FDSB(A10,"PERCENT_CHANGE(FMA_EPS(+1,0,,,,""PORTAGG"",""MEAN""),FMA_EPS(+1,-1AM,,,,""PORTAGG"",""MEAN""))")</f>
        <v>-0.82154162674060405</v>
      </c>
      <c r="M10" s="41" cm="1">
        <f t="array" ref="M10">_xll.FDSB(A10,"PERCENT_CHANGE(FMA_EPS(+1,0,,,,""PORTAGG"",""MEAN""),FMA_EPS(+1,-3AM,,,,""PORTAGG"",""MEAN""))")</f>
        <v>4.3203897048632101</v>
      </c>
      <c r="N10" s="3" cm="1">
        <f t="array" ref="N10">_xll.FDS(C10,"FG_TOTAL_RETURNC(0,-1AM)")</f>
        <v>-2.3879467999999999</v>
      </c>
      <c r="O10" s="3" cm="1">
        <f t="array" ref="O10">_xll.FDS(C10,"FG_TOTAL_RETURNC(0,-3AM)")</f>
        <v>16.254652</v>
      </c>
      <c r="P10" s="3" cm="1">
        <f t="array" ref="P10">_xll.FDS(C10,"FG_TOTAL_RETURNC(0,-6AM)")</f>
        <v>20.253456</v>
      </c>
      <c r="Q10" s="9" cm="1">
        <f t="array" ref="Q10">_xll.FDS(C10,"P_PRICE(0)/P_PRICE_HIGH_PR(0,,,,,,""PRICE"",""INTRA"",""52W"")")</f>
        <v>0.92113020000000001</v>
      </c>
      <c r="R10" s="9" cm="1">
        <f t="array" ref="R10">_xll.FDS(C10,"P_PRICE(0)/P_PRICE_low_PR(0,,,,,,""PRICE"",""INTRA"",""52W"")-1")</f>
        <v>0.26148367</v>
      </c>
      <c r="S10" s="3" cm="1">
        <f t="array" ref="S10">_xll.FDS(C10,"FG_TOTAL_RETURNC(0,-12AM)")</f>
        <v>24.253643</v>
      </c>
      <c r="T10" s="4" cm="1">
        <f t="array" ref="T10">_xlfn.PERCENTRANK.EXC(_xlfn._xlws.FILTER($R$3:$R$23, ISNUMBER($R$3:$R$23)),R10)*100</f>
        <v>72.7</v>
      </c>
      <c r="U10" s="4">
        <f t="shared" si="3"/>
        <v>27.299999999999997</v>
      </c>
      <c r="V10" s="4" cm="1">
        <f t="array" ref="V10">_xlfn.PERCENTRANK.EXC(_xlfn._xlws.FILTER($Q$3:$Q$23, ISNUMBER($Q$3:$Q$23)),Q10)*100</f>
        <v>59</v>
      </c>
      <c r="W10" s="4" cm="1">
        <f t="array" ref="W10">_xlfn.PERCENTRANK.EXC(_xlfn._xlws.FILTER($O$3:$O$23, ISNUMBER($O$3:$O$23)),O10)*100</f>
        <v>95.399999999999991</v>
      </c>
      <c r="X10" s="4" cm="1">
        <f t="array" ref="X10">_xlfn.PERCENTRANK.EXC(_xlfn._xlws.FILTER($P$3:$P$23, ISNUMBER($P$3:$P$23)),P10)*100</f>
        <v>86.3</v>
      </c>
      <c r="Y10" s="200" cm="1">
        <f t="array" ref="Y10">_xlfn.PERCENTRANK.EXC(_xlfn._xlws.FILTER($S$3:$S$23, ISNUMBER($S$3:$S$23)),S10)*100</f>
        <v>81.8</v>
      </c>
      <c r="Z10" s="4" cm="1">
        <f t="array" ref="Z10">_xlfn.PERCENTRANK.EXC(_xlfn._xlws.FILTER($K$3:$K$23, ISNUMBER($K$3:$K$23)),K10)*100</f>
        <v>86.3</v>
      </c>
      <c r="AA10" s="4" cm="1">
        <f t="array" ref="AA10">_xlfn.PERCENTRANK.EXC(_xlfn._xlws.FILTER($H$3:$H$23, ISNUMBER($H$3:$H$23)),H10)*100</f>
        <v>63.6</v>
      </c>
      <c r="AB10" s="4" cm="1">
        <f t="array" ref="AB10">_xlfn.PERCENTRANK.EXC(_xlfn._xlws.FILTER($J$3:$J$23, ISNUMBER($J$3:$J$23)),J10)*100</f>
        <v>81.8</v>
      </c>
      <c r="AC10" s="4">
        <f t="shared" si="4"/>
        <v>40.9</v>
      </c>
      <c r="AD10" s="4">
        <f t="shared" si="5"/>
        <v>77.2</v>
      </c>
      <c r="AE10" s="4">
        <f t="shared" si="6"/>
        <v>77.2</v>
      </c>
      <c r="AF10" s="4">
        <f>'Economic Momentum'!Q11</f>
        <v>72.7</v>
      </c>
      <c r="AG10" s="4">
        <f ca="1">'Economic Momentum'!R11</f>
        <v>86.3</v>
      </c>
      <c r="AH10" s="4">
        <f t="shared" ca="1" si="7"/>
        <v>78.11</v>
      </c>
      <c r="AJ10" s="3" cm="1">
        <f t="array" aca="1" ref="AJ10" ca="1">_xlfn.PERCENTRANK.EXC(_xlfn._xlws.FILTER($AH$3:$AH$23, ISNUMBER($AH$3:$AH$23)),AH10)*100</f>
        <v>77.2</v>
      </c>
      <c r="AK10">
        <f t="shared" si="8"/>
        <v>5</v>
      </c>
      <c r="AM10" s="4"/>
    </row>
    <row r="11" spans="1:39" x14ac:dyDescent="0.35">
      <c r="A11" t="s">
        <v>7</v>
      </c>
      <c r="B11" t="s">
        <v>53</v>
      </c>
      <c r="C11" t="s">
        <v>7</v>
      </c>
      <c r="D11" s="153">
        <f>VLOOKUP(C11,'Market Capitalisation'!$C$2:$G$31,5,FALSE)</f>
        <v>472243.47</v>
      </c>
      <c r="E11" cm="1">
        <f t="array" ref="E11">_xll.FDS(C11,"FMA_COS_UP(""EPS"",""1M"",+1,NOW,,,""PORTAGG"",""MEANR"")")</f>
        <v>18</v>
      </c>
      <c r="F11" cm="1">
        <f t="array" ref="F11">_xll.FDS(C11,"FMA_COS_DOWN(""EPS"",""1M"",+1,NOW,,,""PORTAGG"",""MEANR"")")</f>
        <v>11</v>
      </c>
      <c r="G11" cm="1">
        <f t="array" ref="G11">_xll.FDS(A11,"SIZE(FG_CONSTITUENTS)")</f>
        <v>44</v>
      </c>
      <c r="H11" s="9">
        <f t="shared" si="0"/>
        <v>0.40909090909090912</v>
      </c>
      <c r="I11" s="9">
        <f t="shared" si="1"/>
        <v>0.25</v>
      </c>
      <c r="J11" s="9">
        <f t="shared" si="2"/>
        <v>0.15909090909090912</v>
      </c>
      <c r="K11" s="5" cm="1">
        <f t="array" ref="K11">_xll.FDS(A11,"FMA_PCT_ABOVE_MAVG(200,0,,,,""PORTAGG"")")/100</f>
        <v>0.29545454545454503</v>
      </c>
      <c r="L11" s="41" cm="1">
        <f t="array" ref="L11">_xll.FDSB(A11,"PERCENT_CHANGE(FMA_EPS(+1,0,,,,""PORTAGG"",""MEAN""),FMA_EPS(+1,-1AM,,,,""PORTAGG"",""MEAN""))")</f>
        <v>4.4357672021684298</v>
      </c>
      <c r="M11" s="41" cm="1">
        <f t="array" ref="M11">_xll.FDSB(A11,"PERCENT_CHANGE(FMA_EPS(+1,0,,,,""PORTAGG"",""MEAN""),FMA_EPS(+1,-3AM,,,,""PORTAGG"",""MEAN""))")</f>
        <v>-4.0892334117931899</v>
      </c>
      <c r="N11" s="3" cm="1">
        <f t="array" ref="N11">_xll.FDS(C11,"FG_TOTAL_RETURNC(0,-1AM)")</f>
        <v>3.1695723999999998</v>
      </c>
      <c r="O11" s="3" cm="1">
        <f t="array" ref="O11">_xll.FDS(C11,"FG_TOTAL_RETURNC(0,-3AM)")</f>
        <v>-8.9503579999999996</v>
      </c>
      <c r="P11" s="3" cm="1">
        <f t="array" ref="P11">_xll.FDS(C11,"FG_TOTAL_RETURNC(0,-6AM)")</f>
        <v>-9.2719439999999995</v>
      </c>
      <c r="Q11" s="9" cm="1">
        <f t="array" ref="Q11">_xll.FDS(C11,"P_PRICE(0)/P_PRICE_HIGH_PR(0,,,,,,""PRICE"",""INTRA"",""52W"")")</f>
        <v>0.82381886000000004</v>
      </c>
      <c r="R11" s="9" cm="1">
        <f t="array" ref="R11">_xll.FDS(C11,"P_PRICE(0)/P_PRICE_low_PR(0,,,,,,""PRICE"",""INTRA"",""52W"")-1")</f>
        <v>0.117483616</v>
      </c>
      <c r="S11" s="3" cm="1">
        <f t="array" ref="S11">_xll.FDS(C11,"FG_TOTAL_RETURNC(0,-12AM)")</f>
        <v>-6.2008200000000002</v>
      </c>
      <c r="T11" s="4" cm="1">
        <f t="array" ref="T11">_xlfn.PERCENTRANK.EXC(_xlfn._xlws.FILTER($R$3:$R$23, ISNUMBER($R$3:$R$23)),R11)*100</f>
        <v>40.9</v>
      </c>
      <c r="U11" s="4">
        <f t="shared" si="3"/>
        <v>59.1</v>
      </c>
      <c r="V11" s="4" cm="1">
        <f t="array" ref="V11">_xlfn.PERCENTRANK.EXC(_xlfn._xlws.FILTER($Q$3:$Q$23, ISNUMBER($Q$3:$Q$23)),Q11)*100</f>
        <v>18.099999999999998</v>
      </c>
      <c r="W11" s="4" cm="1">
        <f t="array" ref="W11">_xlfn.PERCENTRANK.EXC(_xlfn._xlws.FILTER($O$3:$O$23, ISNUMBER($O$3:$O$23)),O11)*100</f>
        <v>4.5</v>
      </c>
      <c r="X11" s="4" cm="1">
        <f t="array" ref="X11">_xlfn.PERCENTRANK.EXC(_xlfn._xlws.FILTER($P$3:$P$23, ISNUMBER($P$3:$P$23)),P11)*100</f>
        <v>9</v>
      </c>
      <c r="Y11" s="200" cm="1">
        <f t="array" ref="Y11">_xlfn.PERCENTRANK.EXC(_xlfn._xlws.FILTER($S$3:$S$23, ISNUMBER($S$3:$S$23)),S11)*100</f>
        <v>31.8</v>
      </c>
      <c r="Z11" s="4" cm="1">
        <f t="array" ref="Z11">_xlfn.PERCENTRANK.EXC(_xlfn._xlws.FILTER($K$3:$K$23, ISNUMBER($K$3:$K$23)),K11)*100</f>
        <v>9</v>
      </c>
      <c r="AA11" s="4" cm="1">
        <f t="array" ref="AA11">_xlfn.PERCENTRANK.EXC(_xlfn._xlws.FILTER($H$3:$H$23, ISNUMBER($H$3:$H$23)),H11)*100</f>
        <v>77.2</v>
      </c>
      <c r="AB11" s="4" cm="1">
        <f t="array" ref="AB11">_xlfn.PERCENTRANK.EXC(_xlfn._xlws.FILTER($J$3:$J$23, ISNUMBER($J$3:$J$23)),J11)*100</f>
        <v>86.3</v>
      </c>
      <c r="AC11" s="4">
        <f t="shared" si="4"/>
        <v>86.3</v>
      </c>
      <c r="AD11" s="4">
        <f t="shared" si="5"/>
        <v>31.8</v>
      </c>
      <c r="AE11" s="4">
        <f t="shared" si="6"/>
        <v>54.500000000000007</v>
      </c>
      <c r="AF11" s="4">
        <f>'Economic Momentum'!Q12</f>
        <v>27.200000000000003</v>
      </c>
      <c r="AG11" s="4">
        <f ca="1">'Economic Momentum'!R12</f>
        <v>22.7</v>
      </c>
      <c r="AH11" s="4">
        <f t="shared" ca="1" si="7"/>
        <v>11.29</v>
      </c>
      <c r="AJ11" s="3" cm="1">
        <f t="array" aca="1" ref="AJ11" ca="1">_xlfn.PERCENTRANK.EXC(_xlfn._xlws.FILTER($AH$3:$AH$23, ISNUMBER($AH$3:$AH$23)),AH11)*100</f>
        <v>9</v>
      </c>
      <c r="AK11">
        <f t="shared" si="8"/>
        <v>2</v>
      </c>
      <c r="AM11" s="4"/>
    </row>
    <row r="12" spans="1:39" x14ac:dyDescent="0.35">
      <c r="A12" t="s">
        <v>21</v>
      </c>
      <c r="B12" t="s">
        <v>38</v>
      </c>
      <c r="C12" t="s">
        <v>21</v>
      </c>
      <c r="D12" s="153">
        <f>VLOOKUP(C12,'Market Capitalisation'!$C$2:$G$31,5,FALSE)</f>
        <v>1906839.3</v>
      </c>
      <c r="E12" cm="1">
        <f t="array" ref="E12">_xll.FDS(C12,"FMA_COS_UP(""EPS"",""1M"",+1,NOW,,,""PORTAGG"",""MEANR"")")</f>
        <v>44</v>
      </c>
      <c r="F12" cm="1">
        <f t="array" ref="F12">_xll.FDS(C12,"FMA_COS_DOWN(""EPS"",""1M"",+1,NOW,,,""PORTAGG"",""MEANR"")")</f>
        <v>37</v>
      </c>
      <c r="G12" cm="1">
        <f t="array" ref="G12">_xll.FDS(A12,"SIZE(FG_CONSTITUENTS)")</f>
        <v>100</v>
      </c>
      <c r="H12" s="9">
        <f t="shared" si="0"/>
        <v>0.44</v>
      </c>
      <c r="I12" s="9">
        <f t="shared" si="1"/>
        <v>0.37</v>
      </c>
      <c r="J12" s="9">
        <f t="shared" si="2"/>
        <v>7.0000000000000007E-2</v>
      </c>
      <c r="K12" s="5" cm="1">
        <f t="array" ref="K12">_xll.FDS(A12,"FMA_PCT_ABOVE_MAVG(200,0,,,,""PORTAGG"")")/100</f>
        <v>0.57575757575757602</v>
      </c>
      <c r="L12" s="41" cm="1">
        <f t="array" ref="L12">_xll.FDSB(A12,"PERCENT_CHANGE(FMA_EPS(+1,0,,,,""PORTAGG"",""MEAN""),FMA_EPS(+1,-1AM,,,,""PORTAGG"",""MEAN""))")</f>
        <v>2.0408656515177799</v>
      </c>
      <c r="M12" s="41" cm="1">
        <f t="array" ref="M12">_xll.FDSB(A12,"PERCENT_CHANGE(FMA_EPS(+1,0,,,,""PORTAGG"",""MEAN""),FMA_EPS(+1,-3AM,,,,""PORTAGG"",""MEAN""))")</f>
        <v>6.7345382722942899</v>
      </c>
      <c r="N12" s="3" cm="1">
        <f t="array" ref="N12">_xll.FDS(C12,"FG_TOTAL_RETURNC(0,-1AM)")</f>
        <v>-0.60946940000000005</v>
      </c>
      <c r="O12" s="3" cm="1">
        <f t="array" ref="O12">_xll.FDS(C12,"FG_TOTAL_RETURNC(0,-3AM)")</f>
        <v>6.3763975999999998</v>
      </c>
      <c r="P12" s="3" cm="1">
        <f t="array" ref="P12">_xll.FDS(C12,"FG_TOTAL_RETURNC(0,-6AM)")</f>
        <v>10.074258</v>
      </c>
      <c r="Q12" s="9" cm="1">
        <f t="array" ref="Q12">_xll.FDS(C12,"P_PRICE(0)/P_PRICE_HIGH_PR(0,,,,,,""PRICE"",""INTRA"",""52W"")")</f>
        <v>0.93835866000000001</v>
      </c>
      <c r="R12" s="9" cm="1">
        <f t="array" ref="R12">_xll.FDS(C12,"P_PRICE(0)/P_PRICE_low_PR(0,,,,,,""PRICE"",""INTRA"",""52W"")-1")</f>
        <v>0.19710040000000001</v>
      </c>
      <c r="S12" s="3" cm="1">
        <f t="array" ref="S12">_xll.FDS(C12,"FG_TOTAL_RETURNC(0,-12AM)")</f>
        <v>-0.27382373999999998</v>
      </c>
      <c r="T12" s="4" cm="1">
        <f t="array" ref="T12">_xlfn.PERCENTRANK.EXC(_xlfn._xlws.FILTER($R$3:$R$23, ISNUMBER($R$3:$R$23)),R12)*100</f>
        <v>63.6</v>
      </c>
      <c r="U12" s="4">
        <f t="shared" si="3"/>
        <v>36.4</v>
      </c>
      <c r="V12" s="4" cm="1">
        <f t="array" ref="V12">_xlfn.PERCENTRANK.EXC(_xlfn._xlws.FILTER($Q$3:$Q$23, ISNUMBER($Q$3:$Q$23)),Q12)*100</f>
        <v>72.7</v>
      </c>
      <c r="W12" s="4" cm="1">
        <f t="array" ref="W12">_xlfn.PERCENTRANK.EXC(_xlfn._xlws.FILTER($O$3:$O$23, ISNUMBER($O$3:$O$23)),O12)*100</f>
        <v>59</v>
      </c>
      <c r="X12" s="4" cm="1">
        <f t="array" ref="X12">_xlfn.PERCENTRANK.EXC(_xlfn._xlws.FILTER($P$3:$P$23, ISNUMBER($P$3:$P$23)),P12)*100</f>
        <v>54.500000000000007</v>
      </c>
      <c r="Y12" s="200" cm="1">
        <f t="array" ref="Y12">_xlfn.PERCENTRANK.EXC(_xlfn._xlws.FILTER($S$3:$S$23, ISNUMBER($S$3:$S$23)),S12)*100</f>
        <v>54.500000000000007</v>
      </c>
      <c r="Z12" s="4" cm="1">
        <f t="array" ref="Z12">_xlfn.PERCENTRANK.EXC(_xlfn._xlws.FILTER($K$3:$K$23, ISNUMBER($K$3:$K$23)),K12)*100</f>
        <v>54.500000000000007</v>
      </c>
      <c r="AA12" s="4" cm="1">
        <f t="array" ref="AA12">_xlfn.PERCENTRANK.EXC(_xlfn._xlws.FILTER($H$3:$H$23, ISNUMBER($H$3:$H$23)),H12)*100</f>
        <v>86.3</v>
      </c>
      <c r="AB12" s="4" cm="1">
        <f t="array" ref="AB12">_xlfn.PERCENTRANK.EXC(_xlfn._xlws.FILTER($J$3:$J$23, ISNUMBER($J$3:$J$23)),J12)*100</f>
        <v>72.7</v>
      </c>
      <c r="AC12" s="4">
        <f t="shared" si="4"/>
        <v>68.100000000000009</v>
      </c>
      <c r="AD12" s="4">
        <f t="shared" si="5"/>
        <v>86.3</v>
      </c>
      <c r="AE12" s="4">
        <f t="shared" si="6"/>
        <v>72.7</v>
      </c>
      <c r="AF12" s="4">
        <f>'Economic Momentum'!Q13</f>
        <v>50</v>
      </c>
      <c r="AG12" s="4">
        <f ca="1">'Economic Momentum'!R13</f>
        <v>36.299999999999997</v>
      </c>
      <c r="AH12" s="4">
        <f t="shared" ca="1" si="7"/>
        <v>63.13</v>
      </c>
      <c r="AJ12" s="3" cm="1">
        <f t="array" aca="1" ref="AJ12" ca="1">_xlfn.PERCENTRANK.EXC(_xlfn._xlws.FILTER($AH$3:$AH$23, ISNUMBER($AH$3:$AH$23)),AH12)*100</f>
        <v>59</v>
      </c>
      <c r="AK12">
        <f t="shared" si="8"/>
        <v>3</v>
      </c>
      <c r="AM12" s="4"/>
    </row>
    <row r="13" spans="1:39" x14ac:dyDescent="0.35">
      <c r="A13" t="s">
        <v>12</v>
      </c>
      <c r="B13" t="s">
        <v>54</v>
      </c>
      <c r="C13" t="s">
        <v>12</v>
      </c>
      <c r="D13" s="153">
        <f>VLOOKUP(C13,'Market Capitalisation'!$C$2:$G$31,5,FALSE)</f>
        <v>681987.44</v>
      </c>
      <c r="E13" cm="1">
        <f t="array" ref="E13">_xll.FDS(C13,"FMA_COS_UP(""EPS"",""1M"",+1,NOW,,,""PORTAGG"",""MEANR"")")</f>
        <v>12</v>
      </c>
      <c r="F13" cm="1">
        <f t="array" ref="F13">_xll.FDS(C13,"FMA_COS_DOWN(""EPS"",""1M"",+1,NOW,,,""PORTAGG"",""MEANR"")")</f>
        <v>26</v>
      </c>
      <c r="G13" cm="1">
        <f t="array" ref="G13">_xll.FDS(A13,"SIZE(FG_CONSTITUENTS)")</f>
        <v>51</v>
      </c>
      <c r="H13" s="9">
        <f t="shared" si="0"/>
        <v>0.23529411764705882</v>
      </c>
      <c r="I13" s="9">
        <f t="shared" si="1"/>
        <v>0.50980392156862742</v>
      </c>
      <c r="J13" s="9">
        <f t="shared" si="2"/>
        <v>-0.2745098039215686</v>
      </c>
      <c r="K13" s="5" cm="1">
        <f t="array" ref="K13">_xll.FDS(A13,"FMA_PCT_ABOVE_MAVG(200,0,,,,""PORTAGG"")")/100</f>
        <v>0.48979591836734698</v>
      </c>
      <c r="L13" s="41" cm="1">
        <f t="array" ref="L13">_xll.FDSB(A13,"PERCENT_CHANGE(FMA_EPS(+1,0,,,,""PORTAGG"",""MEAN""),FMA_EPS(+1,-1AM,,,,""PORTAGG"",""MEAN""))")</f>
        <v>-1.70389497307298</v>
      </c>
      <c r="M13" s="41" cm="1">
        <f t="array" ref="M13">_xll.FDSB(A13,"PERCENT_CHANGE(FMA_EPS(+1,0,,,,""PORTAGG"",""MEAN""),FMA_EPS(+1,-3AM,,,,""PORTAGG"",""MEAN""))")</f>
        <v>-6.4854853924683002</v>
      </c>
      <c r="N13" s="3" cm="1">
        <f t="array" ref="N13">_xll.FDS(C13,"FG_TOTAL_RETURNC(0,-1AM)")</f>
        <v>3.4737586999999999</v>
      </c>
      <c r="O13" s="3" cm="1">
        <f t="array" ref="O13">_xll.FDS(C13,"FG_TOTAL_RETURNC(0,-3AM)")</f>
        <v>-5.9229493</v>
      </c>
      <c r="P13" s="3" cm="1">
        <f t="array" ref="P13">_xll.FDS(C13,"FG_TOTAL_RETURNC(0,-6AM)")</f>
        <v>-12.259447</v>
      </c>
      <c r="Q13" s="9" cm="1">
        <f t="array" ref="Q13">_xll.FDS(C13,"P_PRICE(0)/P_PRICE_HIGH_PR(0,,,,,,""PRICE"",""INTRA"",""52W"")")</f>
        <v>0.78343589999999996</v>
      </c>
      <c r="R13" s="9" cm="1">
        <f t="array" ref="R13">_xll.FDS(C13,"P_PRICE(0)/P_PRICE_low_PR(0,,,,,,""PRICE"",""INTRA"",""52W"")-1")</f>
        <v>4.3413519999999997E-2</v>
      </c>
      <c r="S13" s="3" cm="1">
        <f t="array" ref="S13">_xll.FDS(C13,"FG_TOTAL_RETURNC(0,-12AM)")</f>
        <v>-7.1442009999999998</v>
      </c>
      <c r="T13" s="4" cm="1">
        <f t="array" ref="T13">_xlfn.PERCENTRANK.EXC(_xlfn._xlws.FILTER($R$3:$R$23, ISNUMBER($R$3:$R$23)),R13)*100</f>
        <v>9</v>
      </c>
      <c r="U13" s="4">
        <f t="shared" si="3"/>
        <v>91</v>
      </c>
      <c r="V13" s="4" cm="1">
        <f t="array" ref="V13">_xlfn.PERCENTRANK.EXC(_xlfn._xlws.FILTER($Q$3:$Q$23, ISNUMBER($Q$3:$Q$23)),Q13)*100</f>
        <v>9</v>
      </c>
      <c r="W13" s="4" cm="1">
        <f t="array" ref="W13">_xlfn.PERCENTRANK.EXC(_xlfn._xlws.FILTER($O$3:$O$23, ISNUMBER($O$3:$O$23)),O13)*100</f>
        <v>9</v>
      </c>
      <c r="X13" s="4" cm="1">
        <f t="array" ref="X13">_xlfn.PERCENTRANK.EXC(_xlfn._xlws.FILTER($P$3:$P$23, ISNUMBER($P$3:$P$23)),P13)*100</f>
        <v>4.5</v>
      </c>
      <c r="Y13" s="200" cm="1">
        <f t="array" ref="Y13">_xlfn.PERCENTRANK.EXC(_xlfn._xlws.FILTER($S$3:$S$23, ISNUMBER($S$3:$S$23)),S13)*100</f>
        <v>27.200000000000003</v>
      </c>
      <c r="Z13" s="4" cm="1">
        <f t="array" ref="Z13">_xlfn.PERCENTRANK.EXC(_xlfn._xlws.FILTER($K$3:$K$23, ISNUMBER($K$3:$K$23)),K13)*100</f>
        <v>36.299999999999997</v>
      </c>
      <c r="AA13" s="4" cm="1">
        <f t="array" ref="AA13">_xlfn.PERCENTRANK.EXC(_xlfn._xlws.FILTER($H$3:$H$23, ISNUMBER($H$3:$H$23)),H13)*100</f>
        <v>31.8</v>
      </c>
      <c r="AB13" s="4" cm="1">
        <f t="array" ref="AB13">_xlfn.PERCENTRANK.EXC(_xlfn._xlws.FILTER($J$3:$J$23, ISNUMBER($J$3:$J$23)),J13)*100</f>
        <v>9</v>
      </c>
      <c r="AC13" s="4">
        <f t="shared" si="4"/>
        <v>27.200000000000003</v>
      </c>
      <c r="AD13" s="4">
        <f t="shared" si="5"/>
        <v>13.600000000000001</v>
      </c>
      <c r="AE13" s="4">
        <f t="shared" si="6"/>
        <v>63.6</v>
      </c>
      <c r="AF13" s="4">
        <f>'Economic Momentum'!Q14</f>
        <v>68.100000000000009</v>
      </c>
      <c r="AG13" s="4">
        <f ca="1">'Economic Momentum'!R14</f>
        <v>31.8</v>
      </c>
      <c r="AH13" s="4">
        <f t="shared" ca="1" si="7"/>
        <v>7.6499999999999995</v>
      </c>
      <c r="AJ13" s="3" cm="1">
        <f t="array" aca="1" ref="AJ13" ca="1">_xlfn.PERCENTRANK.EXC(_xlfn._xlws.FILTER($AH$3:$AH$23, ISNUMBER($AH$3:$AH$23)),AH13)*100</f>
        <v>4.5</v>
      </c>
      <c r="AK13">
        <f t="shared" si="8"/>
        <v>0</v>
      </c>
      <c r="AM13" s="4"/>
    </row>
    <row r="14" spans="1:39" x14ac:dyDescent="0.35">
      <c r="A14" t="s">
        <v>22</v>
      </c>
      <c r="B14" t="s">
        <v>442</v>
      </c>
      <c r="C14" t="s">
        <v>22</v>
      </c>
      <c r="D14" s="153">
        <f>VLOOKUP(C14,'Market Capitalisation'!$C$2:$G$31,5,FALSE)</f>
        <v>326505.71999999997</v>
      </c>
      <c r="E14" cm="1">
        <f t="array" ref="E14">_xll.FDS(C14,"FMA_COS_UP(""EPS"",""1M"",+1,NOW,,,""PORTAGG"",""MEANR"")")</f>
        <v>13</v>
      </c>
      <c r="F14" cm="1">
        <f t="array" ref="F14">_xll.FDS(C14,"FMA_COS_DOWN(""EPS"",""1M"",+1,NOW,,,""PORTAGG"",""MEANR"")")</f>
        <v>17</v>
      </c>
      <c r="G14" cm="1">
        <f t="array" ref="G14">_xll.FDS(A14,"SIZE(FG_CONSTITUENTS)")</f>
        <v>33</v>
      </c>
      <c r="H14" s="9">
        <f t="shared" si="0"/>
        <v>0.39393939393939392</v>
      </c>
      <c r="I14" s="9">
        <f t="shared" si="1"/>
        <v>0.51515151515151514</v>
      </c>
      <c r="J14" s="9">
        <f t="shared" si="2"/>
        <v>-0.12121212121212122</v>
      </c>
      <c r="K14" s="5" cm="1">
        <f t="array" ref="K14">_xll.FDS(A14,"FMA_PCT_ABOVE_MAVG(200,0,,,,""PORTAGG"")")/100</f>
        <v>0.66666666666666696</v>
      </c>
      <c r="L14" s="41" cm="1">
        <f t="array" ref="L14">_xll.FDSB(A14,"PERCENT_CHANGE(FMA_EPS(+1,0,,,,""PORTAGG"",""MEAN""),FMA_EPS(+1,-1AM,,,,""PORTAGG"",""MEAN""))")</f>
        <v>-0.74955909693231804</v>
      </c>
      <c r="M14" s="41" cm="1">
        <f t="array" ref="M14">_xll.FDSB(A14,"PERCENT_CHANGE(FMA_EPS(+1,0,,,,""PORTAGG"",""MEAN""),FMA_EPS(+1,-3AM,,,,""PORTAGG"",""MEAN""))")</f>
        <v>0.175991061412792</v>
      </c>
      <c r="N14" s="3" cm="1">
        <f t="array" ref="N14">_xll.FDS(C14,"FG_TOTAL_RETURNC(0,-1AM)")</f>
        <v>-1.9487916999999999</v>
      </c>
      <c r="O14" s="3" cm="1">
        <f t="array" ref="O14">_xll.FDS(C14,"FG_TOTAL_RETURNC(0,-3AM)")</f>
        <v>14.451313000000001</v>
      </c>
      <c r="P14" s="3" cm="1">
        <f t="array" ref="P14">_xll.FDS(C14,"FG_TOTAL_RETURNC(0,-6AM)")</f>
        <v>15.322245000000001</v>
      </c>
      <c r="Q14" s="9" cm="1">
        <f t="array" ref="Q14">_xll.FDS(C14,"P_PRICE(0)/P_PRICE_HIGH_PR(0,,,,,,""PRICE"",""INTRA"",""52W"")")</f>
        <v>0.9539242</v>
      </c>
      <c r="R14" s="9" cm="1">
        <f t="array" ref="R14">_xll.FDS(C14,"P_PRICE(0)/P_PRICE_low_PR(0,,,,,,""PRICE"",""INTRA"",""52W"")-1")</f>
        <v>0.21001123999999999</v>
      </c>
      <c r="S14" s="3" cm="1">
        <f t="array" ref="S14">_xll.FDS(C14,"FG_TOTAL_RETURNC(0,-12AM)")</f>
        <v>3.7487507</v>
      </c>
      <c r="T14" s="4" cm="1">
        <f t="array" ref="T14">_xlfn.PERCENTRANK.EXC(_xlfn._xlws.FILTER($R$3:$R$23, ISNUMBER($R$3:$R$23)),R14)*100</f>
        <v>68.100000000000009</v>
      </c>
      <c r="U14" s="4">
        <f t="shared" si="3"/>
        <v>31.899999999999991</v>
      </c>
      <c r="V14" s="4" cm="1">
        <f t="array" ref="V14">_xlfn.PERCENTRANK.EXC(_xlfn._xlws.FILTER($Q$3:$Q$23, ISNUMBER($Q$3:$Q$23)),Q14)*100</f>
        <v>77.2</v>
      </c>
      <c r="W14" s="4" cm="1">
        <f t="array" ref="W14">_xlfn.PERCENTRANK.EXC(_xlfn._xlws.FILTER($O$3:$O$23, ISNUMBER($O$3:$O$23)),O14)*100</f>
        <v>86.3</v>
      </c>
      <c r="X14" s="4" cm="1">
        <f t="array" ref="X14">_xlfn.PERCENTRANK.EXC(_xlfn._xlws.FILTER($P$3:$P$23, ISNUMBER($P$3:$P$23)),P14)*100</f>
        <v>77.2</v>
      </c>
      <c r="Y14" s="200" cm="1">
        <f t="array" ref="Y14">_xlfn.PERCENTRANK.EXC(_xlfn._xlws.FILTER($S$3:$S$23, ISNUMBER($S$3:$S$23)),S14)*100</f>
        <v>63.6</v>
      </c>
      <c r="Z14" s="4" cm="1">
        <f t="array" ref="Z14">_xlfn.PERCENTRANK.EXC(_xlfn._xlws.FILTER($K$3:$K$23, ISNUMBER($K$3:$K$23)),K14)*100</f>
        <v>72.7</v>
      </c>
      <c r="AA14" s="4" cm="1">
        <f t="array" ref="AA14">_xlfn.PERCENTRANK.EXC(_xlfn._xlws.FILTER($H$3:$H$23, ISNUMBER($H$3:$H$23)),H14)*100</f>
        <v>68.100000000000009</v>
      </c>
      <c r="AB14" s="4" cm="1">
        <f t="array" ref="AB14">_xlfn.PERCENTRANK.EXC(_xlfn._xlws.FILTER($J$3:$J$23, ISNUMBER($J$3:$J$23)),J14)*100</f>
        <v>22.7</v>
      </c>
      <c r="AC14" s="4">
        <f t="shared" si="4"/>
        <v>45.4</v>
      </c>
      <c r="AD14" s="4">
        <f t="shared" si="5"/>
        <v>59</v>
      </c>
      <c r="AE14" s="4">
        <f t="shared" si="6"/>
        <v>36.299999999999997</v>
      </c>
      <c r="AF14" s="4">
        <f>'Economic Momentum'!Q15</f>
        <v>13.600000000000001</v>
      </c>
      <c r="AG14" s="4">
        <f ca="1">'Economic Momentum'!R15</f>
        <v>54.500000000000007</v>
      </c>
      <c r="AH14" s="4">
        <f t="shared" ca="1" si="7"/>
        <v>79.929999999999993</v>
      </c>
      <c r="AJ14" s="3" cm="1">
        <f t="array" aca="1" ref="AJ14" ca="1">_xlfn.PERCENTRANK.EXC(_xlfn._xlws.FILTER($AH$3:$AH$23, ISNUMBER($AH$3:$AH$23)),AH14)*100</f>
        <v>90.9</v>
      </c>
      <c r="AK14">
        <f t="shared" si="8"/>
        <v>4</v>
      </c>
      <c r="AM14" s="4"/>
    </row>
    <row r="15" spans="1:39" x14ac:dyDescent="0.35">
      <c r="A15" t="s">
        <v>28</v>
      </c>
      <c r="B15" t="s">
        <v>443</v>
      </c>
      <c r="C15" t="s">
        <v>28</v>
      </c>
      <c r="D15" s="153">
        <f>VLOOKUP(C15,'Market Capitalisation'!$C$2:$G$31,5,FALSE)</f>
        <v>85036.01</v>
      </c>
      <c r="E15" cm="1">
        <f t="array" ref="E15">_xll.FDS(C15,"FMA_COS_UP(""EPS"",""1M"",+1,NOW,,,""PORTAGG"",""MEANR"")")</f>
        <v>4</v>
      </c>
      <c r="F15" cm="1">
        <f t="array" ref="F15">_xll.FDS(C15,"FMA_COS_DOWN(""EPS"",""1M"",+1,NOW,,,""PORTAGG"",""MEANR"")")</f>
        <v>8</v>
      </c>
      <c r="G15" cm="1">
        <f t="array" ref="G15">_xll.FDS(A15,"SIZE(FG_CONSTITUENTS)")</f>
        <v>32</v>
      </c>
      <c r="H15" s="9">
        <f t="shared" si="0"/>
        <v>0.125</v>
      </c>
      <c r="I15" s="9">
        <f t="shared" si="1"/>
        <v>0.25</v>
      </c>
      <c r="J15" s="9">
        <f t="shared" si="2"/>
        <v>-0.125</v>
      </c>
      <c r="K15" s="5" cm="1">
        <f t="array" ref="K15">_xll.FDS(A15,"FMA_PCT_ABOVE_MAVG(200,0,,,,""PORTAGG"")")/100</f>
        <v>0.72413793103448298</v>
      </c>
      <c r="L15" s="41" cm="1">
        <f t="array" ref="L15">_xll.FDSB(A15,"PERCENT_CHANGE(FMA_EPS(+1,0,,,,""PORTAGG"",""MEAN""),FMA_EPS(+1,-1AM,,,,""PORTAGG"",""MEAN""))")</f>
        <v>5.0611000380611504</v>
      </c>
      <c r="M15" s="41" cm="1">
        <f t="array" ref="M15">_xll.FDSB(A15,"PERCENT_CHANGE(FMA_EPS(+1,0,,,,""PORTAGG"",""MEAN""),FMA_EPS(+1,-3AM,,,,""PORTAGG"",""MEAN""))")</f>
        <v>8.7956394188587801</v>
      </c>
      <c r="N15" s="3" cm="1">
        <f t="array" ref="N15">_xll.FDS(C15,"FG_TOTAL_RETURNC(0,-1AM)")</f>
        <v>5.4454922999999997</v>
      </c>
      <c r="O15" s="3" cm="1">
        <f t="array" ref="O15">_xll.FDS(C15,"FG_TOTAL_RETURNC(0,-3AM)")</f>
        <v>9.0235819999999993</v>
      </c>
      <c r="P15" s="3" cm="1">
        <f t="array" ref="P15">_xll.FDS(C15,"FG_TOTAL_RETURNC(0,-6AM)")</f>
        <v>10.356951</v>
      </c>
      <c r="Q15" s="9" cm="1">
        <f t="array" ref="Q15">_xll.FDS(C15,"P_PRICE(0)/P_PRICE_HIGH_PR(0,,,,,,""PRICE"",""INTRA"",""52W"")")</f>
        <v>0.96861390000000003</v>
      </c>
      <c r="R15" s="9" cm="1">
        <f t="array" ref="R15">_xll.FDS(C15,"P_PRICE(0)/P_PRICE_low_PR(0,,,,,,""PRICE"",""INTRA"",""52W"")-1")</f>
        <v>0.37854135</v>
      </c>
      <c r="S15" s="3" cm="1">
        <f t="array" ref="S15">_xll.FDS(C15,"FG_TOTAL_RETURNC(0,-12AM)")</f>
        <v>9.5430849999999996</v>
      </c>
      <c r="T15" s="4" cm="1">
        <f t="array" ref="T15">_xlfn.PERCENTRANK.EXC(_xlfn._xlws.FILTER($R$3:$R$23, ISNUMBER($R$3:$R$23)),R15)*100</f>
        <v>81.8</v>
      </c>
      <c r="U15" s="4">
        <f t="shared" si="3"/>
        <v>18.200000000000003</v>
      </c>
      <c r="V15" s="4" cm="1">
        <f t="array" ref="V15">_xlfn.PERCENTRANK.EXC(_xlfn._xlws.FILTER($Q$3:$Q$23, ISNUMBER($Q$3:$Q$23)),Q15)*100</f>
        <v>81.8</v>
      </c>
      <c r="W15" s="4" cm="1">
        <f t="array" ref="W15">_xlfn.PERCENTRANK.EXC(_xlfn._xlws.FILTER($O$3:$O$23, ISNUMBER($O$3:$O$23)),O15)*100</f>
        <v>77.2</v>
      </c>
      <c r="X15" s="4" cm="1">
        <f t="array" ref="X15">_xlfn.PERCENTRANK.EXC(_xlfn._xlws.FILTER($P$3:$P$23, ISNUMBER($P$3:$P$23)),P15)*100</f>
        <v>59</v>
      </c>
      <c r="Y15" s="200" cm="1">
        <f t="array" ref="Y15">_xlfn.PERCENTRANK.EXC(_xlfn._xlws.FILTER($S$3:$S$23, ISNUMBER($S$3:$S$23)),S15)*100</f>
        <v>68.100000000000009</v>
      </c>
      <c r="Z15" s="4" cm="1">
        <f t="array" ref="Z15">_xlfn.PERCENTRANK.EXC(_xlfn._xlws.FILTER($K$3:$K$23, ISNUMBER($K$3:$K$23)),K15)*100</f>
        <v>81.8</v>
      </c>
      <c r="AA15" s="4" cm="1">
        <f t="array" ref="AA15">_xlfn.PERCENTRANK.EXC(_xlfn._xlws.FILTER($H$3:$H$23, ISNUMBER($H$3:$H$23)),H15)*100</f>
        <v>13.600000000000001</v>
      </c>
      <c r="AB15" s="4" cm="1">
        <f t="array" ref="AB15">_xlfn.PERCENTRANK.EXC(_xlfn._xlws.FILTER($J$3:$J$23, ISNUMBER($J$3:$J$23)),J15)*100</f>
        <v>18.099999999999998</v>
      </c>
      <c r="AC15" s="4">
        <f t="shared" si="4"/>
        <v>95.399999999999991</v>
      </c>
      <c r="AD15" s="4">
        <f t="shared" si="5"/>
        <v>90.9</v>
      </c>
      <c r="AE15" s="4">
        <f t="shared" si="6"/>
        <v>13.600000000000001</v>
      </c>
      <c r="AF15" s="4">
        <f>'Economic Momentum'!Q16</f>
        <v>77.2</v>
      </c>
      <c r="AG15" s="4">
        <f ca="1">'Economic Momentum'!R16</f>
        <v>18.099999999999998</v>
      </c>
      <c r="AH15" s="4">
        <f t="shared" ca="1" si="7"/>
        <v>73.58</v>
      </c>
      <c r="AJ15" s="3" cm="1">
        <f t="array" aca="1" ref="AJ15" ca="1">_xlfn.PERCENTRANK.EXC(_xlfn._xlws.FILTER($AH$3:$AH$23, ISNUMBER($AH$3:$AH$23)),AH15)*100</f>
        <v>72.7</v>
      </c>
      <c r="AK15">
        <f t="shared" si="8"/>
        <v>3</v>
      </c>
      <c r="AM15" s="4"/>
    </row>
    <row r="16" spans="1:39" x14ac:dyDescent="0.35">
      <c r="A16" t="s">
        <v>32</v>
      </c>
      <c r="B16" t="s">
        <v>52</v>
      </c>
      <c r="C16" t="s">
        <v>32</v>
      </c>
      <c r="D16" s="153">
        <f>VLOOKUP(C16,'Market Capitalisation'!$C$2:$G$31,5,FALSE)</f>
        <v>5265089</v>
      </c>
      <c r="E16" cm="1">
        <f t="array" ref="E16">_xll.FDS(C16,"FMA_COS_UP(""EPS"",""1M"",+1,NOW,,,""PORTAGG"",""MEANR"")")</f>
        <v>55</v>
      </c>
      <c r="F16" cm="1">
        <f t="array" ref="F16">_xll.FDS(C16,"FMA_COS_DOWN(""EPS"",""1M"",+1,NOW,,,""PORTAGG"",""MEANR"")")</f>
        <v>55</v>
      </c>
      <c r="G16" cm="1">
        <f t="array" ref="G16">_xll.FDS(A16,"SIZE(FG_CONSTITUENTS)")</f>
        <v>147</v>
      </c>
      <c r="H16" s="9">
        <f t="shared" si="0"/>
        <v>0.37414965986394561</v>
      </c>
      <c r="I16" s="9">
        <f t="shared" si="1"/>
        <v>0.37414965986394561</v>
      </c>
      <c r="J16" s="9">
        <f t="shared" si="2"/>
        <v>0</v>
      </c>
      <c r="K16" s="5" cm="1">
        <f t="array" ref="K16">_xll.FDS(A16,"FMA_PCT_ABOVE_MAVG(200,0,,,,""PORTAGG"")")/100</f>
        <v>0.91836734693877597</v>
      </c>
      <c r="L16" s="41" cm="1">
        <f t="array" ref="L16">_xll.FDSB(A16,"PERCENT_CHANGE(FMA_EPS(+1,0,,,,""PORTAGG"",""MEAN""),FMA_EPS(+1,-1AM,,,,""PORTAGG"",""MEAN""))")</f>
        <v>-1.00962037852277</v>
      </c>
      <c r="M16" s="41" cm="1">
        <f t="array" ref="M16">_xll.FDSB(A16,"PERCENT_CHANGE(FMA_EPS(+1,0,,,,""PORTAGG"",""MEAN""),FMA_EPS(+1,-3AM,,,,""PORTAGG"",""MEAN""))")</f>
        <v>-1.4530131707206899</v>
      </c>
      <c r="N16" s="3" cm="1">
        <f t="array" ref="N16">_xll.FDS(C16,"FG_TOTAL_RETURNC(0,-1AM)")</f>
        <v>1.2069939999999999</v>
      </c>
      <c r="O16" s="3" cm="1">
        <f t="array" ref="O16">_xll.FDS(C16,"FG_TOTAL_RETURNC(0,-3AM)")</f>
        <v>9.4486600000000003</v>
      </c>
      <c r="P16" s="3" cm="1">
        <f t="array" ref="P16">_xll.FDS(C16,"FG_TOTAL_RETURNC(0,-6AM)")</f>
        <v>13.288975000000001</v>
      </c>
      <c r="Q16" s="9" cm="1">
        <f t="array" ref="Q16">_xll.FDS(C16,"P_PRICE(0)/P_PRICE_HIGH_PR(0,,,,,,""PRICE"",""INTRA"",""52W"")")</f>
        <v>0.97840475999999998</v>
      </c>
      <c r="R16" s="9" cm="1">
        <f t="array" ref="R16">_xll.FDS(C16,"P_PRICE(0)/P_PRICE_low_PR(0,,,,,,""PRICE"",""INTRA"",""52W"")-1")</f>
        <v>0.31661593999999998</v>
      </c>
      <c r="S16" s="3" cm="1">
        <f t="array" ref="S16">_xll.FDS(C16,"FG_TOTAL_RETURNC(0,-12AM)")</f>
        <v>25.823069</v>
      </c>
      <c r="T16" s="4" cm="1">
        <f t="array" ref="T16">_xlfn.PERCENTRANK.EXC(_xlfn._xlws.FILTER($R$3:$R$23, ISNUMBER($R$3:$R$23)),R16)*100</f>
        <v>77.2</v>
      </c>
      <c r="U16" s="4">
        <f t="shared" si="3"/>
        <v>22.799999999999997</v>
      </c>
      <c r="V16" s="4" cm="1">
        <f t="array" ref="V16">_xlfn.PERCENTRANK.EXC(_xlfn._xlws.FILTER($Q$3:$Q$23, ISNUMBER($Q$3:$Q$23)),Q16)*100</f>
        <v>86.3</v>
      </c>
      <c r="W16" s="4" cm="1">
        <f t="array" ref="W16">_xlfn.PERCENTRANK.EXC(_xlfn._xlws.FILTER($O$3:$O$23, ISNUMBER($O$3:$O$23)),O16)*100</f>
        <v>81.8</v>
      </c>
      <c r="X16" s="4" cm="1">
        <f t="array" ref="X16">_xlfn.PERCENTRANK.EXC(_xlfn._xlws.FILTER($P$3:$P$23, ISNUMBER($P$3:$P$23)),P16)*100</f>
        <v>68.100000000000009</v>
      </c>
      <c r="Y16" s="200" cm="1">
        <f t="array" ref="Y16">_xlfn.PERCENTRANK.EXC(_xlfn._xlws.FILTER($S$3:$S$23, ISNUMBER($S$3:$S$23)),S16)*100</f>
        <v>86.3</v>
      </c>
      <c r="Z16" s="4" cm="1">
        <f t="array" ref="Z16">_xlfn.PERCENTRANK.EXC(_xlfn._xlws.FILTER($K$3:$K$23, ISNUMBER($K$3:$K$23)),K16)*100</f>
        <v>95.399999999999991</v>
      </c>
      <c r="AA16" s="4" cm="1">
        <f t="array" ref="AA16">_xlfn.PERCENTRANK.EXC(_xlfn._xlws.FILTER($H$3:$H$23, ISNUMBER($H$3:$H$23)),H16)*100</f>
        <v>59</v>
      </c>
      <c r="AB16" s="4" cm="1">
        <f t="array" ref="AB16">_xlfn.PERCENTRANK.EXC(_xlfn._xlws.FILTER($J$3:$J$23, ISNUMBER($J$3:$J$23)),J16)*100</f>
        <v>50</v>
      </c>
      <c r="AC16" s="4">
        <f t="shared" si="4"/>
        <v>31.8</v>
      </c>
      <c r="AD16" s="4">
        <f t="shared" si="5"/>
        <v>50</v>
      </c>
      <c r="AE16" s="4">
        <f t="shared" si="6"/>
        <v>86.3</v>
      </c>
      <c r="AF16" s="4">
        <f>'Economic Momentum'!Q17</f>
        <v>95.399999999999991</v>
      </c>
      <c r="AG16" s="4">
        <f ca="1">'Economic Momentum'!R17</f>
        <v>72.7</v>
      </c>
      <c r="AH16" s="4">
        <f t="shared" ca="1" si="7"/>
        <v>79.490000000000009</v>
      </c>
      <c r="AJ16" s="3" cm="1">
        <f t="array" aca="1" ref="AJ16" ca="1">_xlfn.PERCENTRANK.EXC(_xlfn._xlws.FILTER($AH$3:$AH$23, ISNUMBER($AH$3:$AH$23)),AH16)*100</f>
        <v>86.3</v>
      </c>
      <c r="AK16">
        <f t="shared" si="8"/>
        <v>4</v>
      </c>
      <c r="AM16" s="4"/>
    </row>
    <row r="17" spans="1:39" x14ac:dyDescent="0.35">
      <c r="A17" t="s">
        <v>26</v>
      </c>
      <c r="B17" t="s">
        <v>41</v>
      </c>
      <c r="C17" t="s">
        <v>26</v>
      </c>
      <c r="D17" s="153">
        <f>VLOOKUP(C17,'Market Capitalisation'!$C$2:$G$31,5,FALSE)</f>
        <v>7053963.5</v>
      </c>
      <c r="E17" cm="1">
        <f t="array" ref="E17">_xll.FDS(C17,"FMA_COS_UP(""EPS"",""1M"",+1,NOW,,,""PORTAGG"",""MEANR"")")</f>
        <v>198</v>
      </c>
      <c r="F17" cm="1">
        <f t="array" ref="F17">_xll.FDS(C17,"FMA_COS_DOWN(""EPS"",""1M"",+1,NOW,,,""PORTAGG"",""MEANR"")")</f>
        <v>221</v>
      </c>
      <c r="G17" cm="1">
        <f t="array" ref="G17">_xll.FDS(A17,"SIZE(FG_CONSTITUENTS)")</f>
        <v>651</v>
      </c>
      <c r="H17" s="9">
        <f t="shared" si="0"/>
        <v>0.30414746543778803</v>
      </c>
      <c r="I17" s="9">
        <f t="shared" si="1"/>
        <v>0.33947772657450076</v>
      </c>
      <c r="J17" s="9">
        <f t="shared" si="2"/>
        <v>-3.5330261136712726E-2</v>
      </c>
      <c r="K17" s="5" cm="1">
        <f t="array" ref="K17">_xll.FDS(A17,"FMA_PCT_ABOVE_MAVG(200,0,,,,""PORTAGG"")")/100</f>
        <v>0.44375963020030801</v>
      </c>
      <c r="L17" s="41" cm="1">
        <f t="array" ref="L17">_xll.FDSB(A17,"PERCENT_CHANGE(FMA_EPS(+1,0,,,,""PORTAGG"",""MEAN""),FMA_EPS(+1,-1AM,,,,""PORTAGG"",""MEAN""))")</f>
        <v>-0.96403012785287501</v>
      </c>
      <c r="M17" s="41" cm="1">
        <f t="array" ref="M17">_xll.FDSB(A17,"PERCENT_CHANGE(FMA_EPS(+1,0,,,,""PORTAGG"",""MEAN""),FMA_EPS(+1,-3AM,,,,""PORTAGG"",""MEAN""))")</f>
        <v>0.45096420170775903</v>
      </c>
      <c r="N17" s="3" cm="1">
        <f t="array" ref="N17">_xll.FDS(C17,"FG_TOTAL_RETURNC(0,-1AM)")</f>
        <v>-3.468871</v>
      </c>
      <c r="O17" s="3" cm="1">
        <f t="array" ref="O17">_xll.FDS(C17,"FG_TOTAL_RETURNC(0,-3AM)")</f>
        <v>7.0918919999999996</v>
      </c>
      <c r="P17" s="3" cm="1">
        <f t="array" ref="P17">_xll.FDS(C17,"FG_TOTAL_RETURNC(0,-6AM)")</f>
        <v>13.944148999999999</v>
      </c>
      <c r="Q17" s="9" cm="1">
        <f t="array" ref="Q17">_xll.FDS(C17,"P_PRICE(0)/P_PRICE_HIGH_PR(0,,,,,,""PRICE"",""INTRA"",""52W"")")</f>
        <v>0.84140974000000002</v>
      </c>
      <c r="R17" s="9" cm="1">
        <f t="array" ref="R17">_xll.FDS(C17,"P_PRICE(0)/P_PRICE_low_PR(0,,,,,,""PRICE"",""INTRA"",""52W"")-1")</f>
        <v>0.18100047</v>
      </c>
      <c r="S17" s="3" cm="1">
        <f t="array" ref="S17">_xll.FDS(C17,"FG_TOTAL_RETURNC(0,-12AM)")</f>
        <v>-5.1029150000000003</v>
      </c>
      <c r="T17" s="4" cm="1">
        <f t="array" ref="T17">_xlfn.PERCENTRANK.EXC(_xlfn._xlws.FILTER($R$3:$R$23, ISNUMBER($R$3:$R$23)),R17)*100</f>
        <v>59</v>
      </c>
      <c r="U17" s="4">
        <f t="shared" si="3"/>
        <v>41</v>
      </c>
      <c r="V17" s="4" cm="1">
        <f t="array" ref="V17">_xlfn.PERCENTRANK.EXC(_xlfn._xlws.FILTER($Q$3:$Q$23, ISNUMBER($Q$3:$Q$23)),Q17)*100</f>
        <v>31.8</v>
      </c>
      <c r="W17" s="4" cm="1">
        <f t="array" ref="W17">_xlfn.PERCENTRANK.EXC(_xlfn._xlws.FILTER($O$3:$O$23, ISNUMBER($O$3:$O$23)),O17)*100</f>
        <v>68.100000000000009</v>
      </c>
      <c r="X17" s="4" cm="1">
        <f t="array" ref="X17">_xlfn.PERCENTRANK.EXC(_xlfn._xlws.FILTER($P$3:$P$23, ISNUMBER($P$3:$P$23)),P17)*100</f>
        <v>72.7</v>
      </c>
      <c r="Y17" s="200" cm="1">
        <f t="array" ref="Y17">_xlfn.PERCENTRANK.EXC(_xlfn._xlws.FILTER($S$3:$S$23, ISNUMBER($S$3:$S$23)),S17)*100</f>
        <v>36.299999999999997</v>
      </c>
      <c r="Z17" s="4" cm="1">
        <f t="array" ref="Z17">_xlfn.PERCENTRANK.EXC(_xlfn._xlws.FILTER($K$3:$K$23, ISNUMBER($K$3:$K$23)),K17)*100</f>
        <v>27.200000000000003</v>
      </c>
      <c r="AA17" s="4" cm="1">
        <f t="array" ref="AA17">_xlfn.PERCENTRANK.EXC(_xlfn._xlws.FILTER($H$3:$H$23, ISNUMBER($H$3:$H$23)),H17)*100</f>
        <v>54.500000000000007</v>
      </c>
      <c r="AB17" s="4" cm="1">
        <f t="array" ref="AB17">_xlfn.PERCENTRANK.EXC(_xlfn._xlws.FILTER($J$3:$J$23, ISNUMBER($J$3:$J$23)),J17)*100</f>
        <v>40.9</v>
      </c>
      <c r="AC17" s="4">
        <f t="shared" si="4"/>
        <v>36.299999999999997</v>
      </c>
      <c r="AD17" s="4">
        <f t="shared" si="5"/>
        <v>63.6</v>
      </c>
      <c r="AE17" s="4">
        <f t="shared" si="6"/>
        <v>90.9</v>
      </c>
      <c r="AF17" s="4">
        <f>'Economic Momentum'!Q18</f>
        <v>40.9</v>
      </c>
      <c r="AG17" s="4">
        <f ca="1">'Economic Momentum'!R18</f>
        <v>59</v>
      </c>
      <c r="AH17" s="4">
        <f t="shared" ca="1" si="7"/>
        <v>54.960000000000008</v>
      </c>
      <c r="AJ17" s="3" cm="1">
        <f t="array" aca="1" ref="AJ17" ca="1">_xlfn.PERCENTRANK.EXC(_xlfn._xlws.FILTER($AH$3:$AH$23, ISNUMBER($AH$3:$AH$23)),AH17)*100</f>
        <v>54.500000000000007</v>
      </c>
      <c r="AK17">
        <f t="shared" si="8"/>
        <v>1</v>
      </c>
      <c r="AM17" s="4"/>
    </row>
    <row r="18" spans="1:39" x14ac:dyDescent="0.35">
      <c r="A18" t="s">
        <v>31</v>
      </c>
      <c r="B18" t="s">
        <v>444</v>
      </c>
      <c r="C18" t="s">
        <v>31</v>
      </c>
      <c r="D18" s="153">
        <f>VLOOKUP(C18,'Market Capitalisation'!$C$2:$G$31,5,FALSE)</f>
        <v>158718.54999999999</v>
      </c>
      <c r="E18" cm="1">
        <f t="array" ref="E18">_xll.FDS(C18,"FMA_COS_UP(""EPS"",""1M"",+1,NOW,,,""PORTAGG"",""MEANR"")")</f>
        <v>3</v>
      </c>
      <c r="F18" cm="1">
        <f t="array" ref="F18">_xll.FDS(C18,"FMA_COS_DOWN(""EPS"",""1M"",+1,NOW,,,""PORTAGG"",""MEANR"")")</f>
        <v>3</v>
      </c>
      <c r="G18" cm="1">
        <f t="array" ref="G18">_xll.FDS(A18,"SIZE(FG_CONSTITUENTS)")</f>
        <v>35</v>
      </c>
      <c r="H18" s="9">
        <f t="shared" si="0"/>
        <v>8.5714285714285715E-2</v>
      </c>
      <c r="I18" s="9">
        <f t="shared" si="1"/>
        <v>8.5714285714285715E-2</v>
      </c>
      <c r="J18" s="9">
        <f t="shared" si="2"/>
        <v>0</v>
      </c>
      <c r="K18" s="5" cm="1">
        <f t="array" ref="K18">_xll.FDS(A18,"FMA_PCT_ABOVE_MAVG(200,0,,,,""PORTAGG"")")/100</f>
        <v>0.45714285714285702</v>
      </c>
      <c r="L18" s="41" cm="1">
        <f t="array" ref="L18">_xll.FDSB(A18,"PERCENT_CHANGE(FMA_EPS(+1,0,,,,""PORTAGG"",""MEAN""),FMA_EPS(+1,-1AM,,,,""PORTAGG"",""MEAN""))")</f>
        <v>-2.7016381987474301</v>
      </c>
      <c r="M18" s="41" cm="1">
        <f t="array" ref="M18">_xll.FDSB(A18,"PERCENT_CHANGE(FMA_EPS(+1,0,,,,""PORTAGG"",""MEAN""),FMA_EPS(+1,-3AM,,,,""PORTAGG"",""MEAN""))")</f>
        <v>-5.4746002633127597</v>
      </c>
      <c r="N18" s="3" cm="1">
        <f t="array" ref="N18">_xll.FDS(C18,"FG_TOTAL_RETURNC(0,-1AM)")</f>
        <v>2.1699904999999999</v>
      </c>
      <c r="O18" s="3" cm="1">
        <f t="array" ref="O18">_xll.FDS(C18,"FG_TOTAL_RETURNC(0,-3AM)")</f>
        <v>1.8745422</v>
      </c>
      <c r="P18" s="3" cm="1">
        <f t="array" ref="P18">_xll.FDS(C18,"FG_TOTAL_RETURNC(0,-6AM)")</f>
        <v>0.94734430000000003</v>
      </c>
      <c r="Q18" s="9" cm="1">
        <f t="array" ref="Q18">_xll.FDS(C18,"P_PRICE(0)/P_PRICE_HIGH_PR(0,,,,,,""PRICE"",""INTRA"",""52W"")")</f>
        <v>0.8828125</v>
      </c>
      <c r="R18" s="9" cm="1">
        <f t="array" ref="R18">_xll.FDS(C18,"P_PRICE(0)/P_PRICE_low_PR(0,,,,,,""PRICE"",""INTRA"",""52W"")-1")</f>
        <v>8.2375530000000002E-2</v>
      </c>
      <c r="S18" s="3" cm="1">
        <f t="array" ref="S18">_xll.FDS(C18,"FG_TOTAL_RETURNC(0,-12AM)")</f>
        <v>-1.6267061</v>
      </c>
      <c r="T18" s="4" cm="1">
        <f t="array" ref="T18">_xlfn.PERCENTRANK.EXC(_xlfn._xlws.FILTER($R$3:$R$23, ISNUMBER($R$3:$R$23)),R18)*100</f>
        <v>22.7</v>
      </c>
      <c r="U18" s="4">
        <f t="shared" si="3"/>
        <v>77.3</v>
      </c>
      <c r="V18" s="4" cm="1">
        <f t="array" ref="V18">_xlfn.PERCENTRANK.EXC(_xlfn._xlws.FILTER($Q$3:$Q$23, ISNUMBER($Q$3:$Q$23)),Q18)*100</f>
        <v>40.9</v>
      </c>
      <c r="W18" s="4" cm="1">
        <f t="array" ref="W18">_xlfn.PERCENTRANK.EXC(_xlfn._xlws.FILTER($O$3:$O$23, ISNUMBER($O$3:$O$23)),O18)*100</f>
        <v>36.299999999999997</v>
      </c>
      <c r="X18" s="4" cm="1">
        <f t="array" ref="X18">_xlfn.PERCENTRANK.EXC(_xlfn._xlws.FILTER($P$3:$P$23, ISNUMBER($P$3:$P$23)),P18)*100</f>
        <v>40.9</v>
      </c>
      <c r="Y18" s="200" cm="1">
        <f t="array" ref="Y18">_xlfn.PERCENTRANK.EXC(_xlfn._xlws.FILTER($S$3:$S$23, ISNUMBER($S$3:$S$23)),S18)*100</f>
        <v>45.4</v>
      </c>
      <c r="Z18" s="4" cm="1">
        <f t="array" ref="Z18">_xlfn.PERCENTRANK.EXC(_xlfn._xlws.FILTER($K$3:$K$23, ISNUMBER($K$3:$K$23)),K18)*100</f>
        <v>31.8</v>
      </c>
      <c r="AA18" s="4" cm="1">
        <f t="array" ref="AA18">_xlfn.PERCENTRANK.EXC(_xlfn._xlws.FILTER($H$3:$H$23, ISNUMBER($H$3:$H$23)),H18)*100</f>
        <v>4.5</v>
      </c>
      <c r="AB18" s="4" cm="1">
        <f t="array" ref="AB18">_xlfn.PERCENTRANK.EXC(_xlfn._xlws.FILTER($J$3:$J$23, ISNUMBER($J$3:$J$23)),J18)*100</f>
        <v>50</v>
      </c>
      <c r="AC18" s="4">
        <f t="shared" si="4"/>
        <v>22.7</v>
      </c>
      <c r="AD18" s="4">
        <f t="shared" si="5"/>
        <v>22.7</v>
      </c>
      <c r="AE18" s="4">
        <f t="shared" si="6"/>
        <v>22.7</v>
      </c>
      <c r="AF18" s="4">
        <f>'Economic Momentum'!Q19</f>
        <v>90.9</v>
      </c>
      <c r="AG18" s="4">
        <f ca="1">'Economic Momentum'!R19</f>
        <v>90.9</v>
      </c>
      <c r="AH18" s="4">
        <f t="shared" ca="1" si="7"/>
        <v>39.519999999999996</v>
      </c>
      <c r="AJ18" s="3" cm="1">
        <f t="array" aca="1" ref="AJ18" ca="1">_xlfn.PERCENTRANK.EXC(_xlfn._xlws.FILTER($AH$3:$AH$23, ISNUMBER($AH$3:$AH$23)),AH18)*100</f>
        <v>36.299999999999997</v>
      </c>
      <c r="AK18">
        <f t="shared" si="8"/>
        <v>0</v>
      </c>
      <c r="AM18" s="4"/>
    </row>
    <row r="19" spans="1:39" s="1" customFormat="1" x14ac:dyDescent="0.35">
      <c r="A19" s="1" t="s">
        <v>757</v>
      </c>
      <c r="B19" s="1" t="s">
        <v>758</v>
      </c>
      <c r="C19" s="1" t="s">
        <v>757</v>
      </c>
      <c r="D19" s="153">
        <f>VLOOKUP(C19,'Market Capitalisation'!$C$2:$G$31,5,FALSE)</f>
        <v>448963.45812837902</v>
      </c>
      <c r="E19" cm="1">
        <f t="array" ref="E19">_xll.FDS(C19,"FMA_COS_UP(""EPS"",""1M"",+1,NOW,,,""PORTAGG"",""MEANR"")")</f>
        <v>47</v>
      </c>
      <c r="F19" cm="1">
        <f t="array" ref="F19">_xll.FDS(C19,"FMA_COS_DOWN(""EPS"",""1M"",+1,NOW,,,""PORTAGG"",""MEANR"")")</f>
        <v>71</v>
      </c>
      <c r="G19" s="1" cm="1">
        <f t="array" ref="G19">_xll.FDS(A19,"SIZE(FG_CONSTITUENTS)")</f>
        <v>1</v>
      </c>
      <c r="H19" s="48">
        <f t="shared" si="0"/>
        <v>47</v>
      </c>
      <c r="I19" s="48">
        <f t="shared" si="1"/>
        <v>71</v>
      </c>
      <c r="J19" s="9">
        <f t="shared" si="2"/>
        <v>-24</v>
      </c>
      <c r="K19" s="6" cm="1">
        <f t="array" ref="K19">_xll.FDS(A19,"FMA_PCT_ABOVE_MAVG(200,0,,,,""PORTAGG"")")/100</f>
        <v>0.244377811094453</v>
      </c>
      <c r="L19" s="41" cm="1">
        <f t="array" ref="L19">_xll.FDSB(A19,"PERCENT_CHANGE(FMA_EPS(+1,0,,,,""PORTAGG"",""MEAN""),FMA_EPS(+1,-1AM,,,,""PORTAGG"",""MEAN""))")</f>
        <v>-0.73917407314574801</v>
      </c>
      <c r="M19" s="41" cm="1">
        <f t="array" ref="M19">_xll.FDSB(A19,"PERCENT_CHANGE(FMA_EPS(+1,0,,,,""PORTAGG"",""MEAN""),FMA_EPS(+1,-3AM,,,,""PORTAGG"",""MEAN""))")</f>
        <v>-2.1399764920131998</v>
      </c>
      <c r="N19" s="3" cm="1">
        <f t="array" ref="N19">_xll.FDS(C19,"FG_TOTAL_RETURNC(0,-1AM)")</f>
        <v>1.0216236000000001</v>
      </c>
      <c r="O19" s="54" cm="1">
        <f t="array" ref="O19">_xll.FDS(C19,"FG_TOTAL_RETURNC(0,-3AM)")</f>
        <v>-1.1215508000000001</v>
      </c>
      <c r="P19" s="54" cm="1">
        <f t="array" ref="P19">_xll.FDS(C19,"FG_TOTAL_RETURNC(0,-6AM)")</f>
        <v>-4.7283590000000002</v>
      </c>
      <c r="Q19" s="9" cm="1">
        <f t="array" ref="Q19">_xll.FDS(C19,"P_PRICE(0)/P_PRICE_HIGH_PR(0,,,,,,""PRICE"",""INTRA"",""52W"")")</f>
        <v>0.83393379999999995</v>
      </c>
      <c r="R19" s="9" cm="1">
        <f t="array" ref="R19">_xll.FDS(C19,"P_PRICE(0)/P_PRICE_low_PR(0,,,,,,""PRICE"",""INTRA"",""52W"")-1")</f>
        <v>2.7514457999999999E-2</v>
      </c>
      <c r="S19" s="3" cm="1">
        <f t="array" ref="S19">_xll.FDS(C19,"FG_TOTAL_RETURNC(0,-12AM)")</f>
        <v>-14.284414</v>
      </c>
      <c r="T19" s="4" cm="1">
        <f t="array" ref="T19">_xlfn.PERCENTRANK.EXC(_xlfn._xlws.FILTER($R$3:$R$23, ISNUMBER($R$3:$R$23)),R19)*100</f>
        <v>4.5</v>
      </c>
      <c r="U19" s="4">
        <f t="shared" si="3"/>
        <v>95.5</v>
      </c>
      <c r="V19" s="4" cm="1">
        <f t="array" ref="V19">_xlfn.PERCENTRANK.EXC(_xlfn._xlws.FILTER($Q$3:$Q$23, ISNUMBER($Q$3:$Q$23)),Q19)*100</f>
        <v>27.200000000000003</v>
      </c>
      <c r="W19" s="4" cm="1">
        <f t="array" ref="W19">_xlfn.PERCENTRANK.EXC(_xlfn._xlws.FILTER($O$3:$O$23, ISNUMBER($O$3:$O$23)),O19)*100</f>
        <v>18.099999999999998</v>
      </c>
      <c r="X19" s="4" cm="1">
        <f t="array" ref="X19">_xlfn.PERCENTRANK.EXC(_xlfn._xlws.FILTER($P$3:$P$23, ISNUMBER($P$3:$P$23)),P19)*100</f>
        <v>22.7</v>
      </c>
      <c r="Y19" s="200" cm="1">
        <f t="array" ref="Y19">_xlfn.PERCENTRANK.EXC(_xlfn._xlws.FILTER($S$3:$S$23, ISNUMBER($S$3:$S$23)),S19)*100</f>
        <v>9</v>
      </c>
      <c r="Z19" s="4" cm="1">
        <f t="array" ref="Z19">_xlfn.PERCENTRANK.EXC(_xlfn._xlws.FILTER($K$3:$K$23, ISNUMBER($K$3:$K$23)),K19)*100</f>
        <v>4.5</v>
      </c>
      <c r="AA19" s="4" cm="1">
        <f t="array" ref="AA19">_xlfn.PERCENTRANK.EXC(_xlfn._xlws.FILTER($H$3:$H$23, ISNUMBER($H$3:$H$23)),H19)*100</f>
        <v>95.399999999999991</v>
      </c>
      <c r="AB19" s="4" cm="1">
        <f t="array" ref="AB19">_xlfn.PERCENTRANK.EXC(_xlfn._xlws.FILTER($J$3:$J$23, ISNUMBER($J$3:$J$23)),J19)*100</f>
        <v>4.5</v>
      </c>
      <c r="AC19" s="4">
        <f t="shared" si="4"/>
        <v>50</v>
      </c>
      <c r="AD19" s="4">
        <f t="shared" si="5"/>
        <v>45.4</v>
      </c>
      <c r="AE19" s="4">
        <f t="shared" si="6"/>
        <v>50</v>
      </c>
      <c r="AF19" s="4">
        <f>'Economic Momentum'!Q20</f>
        <v>36.299999999999997</v>
      </c>
      <c r="AG19" s="4">
        <f ca="1">'Economic Momentum'!R20</f>
        <v>95.399999999999991</v>
      </c>
      <c r="AH19" s="4">
        <f t="shared" ca="1" si="7"/>
        <v>23.12</v>
      </c>
      <c r="AJ19" s="3" cm="1">
        <f t="array" aca="1" ref="AJ19" ca="1">_xlfn.PERCENTRANK.EXC(_xlfn._xlws.FILTER($AH$3:$AH$23, ISNUMBER($AH$3:$AH$23)),AH19)*100</f>
        <v>18.099999999999998</v>
      </c>
      <c r="AK19" s="1">
        <f t="shared" si="8"/>
        <v>1</v>
      </c>
      <c r="AM19" s="4"/>
    </row>
    <row r="20" spans="1:39" x14ac:dyDescent="0.35">
      <c r="A20" t="s">
        <v>25</v>
      </c>
      <c r="B20" t="s">
        <v>446</v>
      </c>
      <c r="C20" t="s">
        <v>25</v>
      </c>
      <c r="D20" s="153">
        <f>VLOOKUP(C20,'Market Capitalisation'!$C$2:$G$31,5,FALSE)</f>
        <v>419263.34</v>
      </c>
      <c r="E20" cm="1">
        <f t="array" ref="E20">_xll.FDS(C20,"FMA_COS_UP(""EPS"",""1M"",+1,NOW,,,""PORTAGG"",""MEANR"")")</f>
        <v>11</v>
      </c>
      <c r="F20" cm="1">
        <f t="array" ref="F20">_xll.FDS(C20,"FMA_COS_DOWN(""EPS"",""1M"",+1,NOW,,,""PORTAGG"",""MEANR"")")</f>
        <v>16</v>
      </c>
      <c r="G20" cm="1">
        <f t="array" ref="G20">_xll.FDS(A20,"SIZE(FG_CONSTITUENTS)")</f>
        <v>97</v>
      </c>
      <c r="H20" s="9">
        <f t="shared" si="0"/>
        <v>0.1134020618556701</v>
      </c>
      <c r="I20" s="9">
        <f t="shared" si="1"/>
        <v>0.16494845360824742</v>
      </c>
      <c r="J20" s="9">
        <f t="shared" si="2"/>
        <v>-5.1546391752577317E-2</v>
      </c>
      <c r="K20" s="5" cm="1">
        <f t="array" ref="K20">_xll.FDS(A20,"FMA_PCT_ABOVE_MAVG(200,0,,,,""PORTAGG"")")/100</f>
        <v>0.70526315789473704</v>
      </c>
      <c r="L20" s="41" cm="1">
        <f t="array" ref="L20">_xll.FDSB(A20,"PERCENT_CHANGE(FMA_EPS(+1,0,,,,""PORTAGG"",""MEAN""),FMA_EPS(+1,-1AM,,,,""PORTAGG"",""MEAN""))")</f>
        <v>-5.32639026952004</v>
      </c>
      <c r="M20" s="41" cm="1">
        <f t="array" ref="M20">_xll.FDSB(A20,"PERCENT_CHANGE(FMA_EPS(+1,0,,,,""PORTAGG"",""MEAN""),FMA_EPS(+1,-3AM,,,,""PORTAGG"",""MEAN""))")</f>
        <v>-8.5110815664132993</v>
      </c>
      <c r="N20" s="3" cm="1">
        <f t="array" ref="N20">_xll.FDS(C20,"FG_TOTAL_RETURNC(0,-1AM)")</f>
        <v>4.667306</v>
      </c>
      <c r="O20" s="3" cm="1">
        <f t="array" ref="O20">_xll.FDS(C20,"FG_TOTAL_RETURNC(0,-3AM)")</f>
        <v>15.863026</v>
      </c>
      <c r="P20" s="3" cm="1">
        <f t="array" ref="P20">_xll.FDS(C20,"FG_TOTAL_RETURNC(0,-6AM)")</f>
        <v>31.368721000000001</v>
      </c>
      <c r="Q20" s="9" cm="1">
        <f t="array" ref="Q20">_xll.FDS(C20,"P_PRICE(0)/P_PRICE_HIGH_PR(0,,,,,,""PRICE"",""INTRA"",""52W"")")</f>
        <v>0.98468809999999996</v>
      </c>
      <c r="R20" s="9" cm="1">
        <f t="array" ref="R20">_xll.FDS(C20,"P_PRICE(0)/P_PRICE_low_PR(0,,,,,,""PRICE"",""INTRA"",""52W"")-1")</f>
        <v>0.43048740000000002</v>
      </c>
      <c r="S20" s="3" cm="1">
        <f t="array" ref="S20">_xll.FDS(C20,"FG_TOTAL_RETURNC(0,-12AM)")</f>
        <v>43.583213999999998</v>
      </c>
      <c r="T20" s="4" cm="1">
        <f t="array" ref="T20">_xlfn.PERCENTRANK.EXC(_xlfn._xlws.FILTER($R$3:$R$23, ISNUMBER($R$3:$R$23)),R20)*100</f>
        <v>86.3</v>
      </c>
      <c r="U20" s="4">
        <f t="shared" si="3"/>
        <v>13.700000000000003</v>
      </c>
      <c r="V20" s="4" cm="1">
        <f t="array" ref="V20">_xlfn.PERCENTRANK.EXC(_xlfn._xlws.FILTER($Q$3:$Q$23, ISNUMBER($Q$3:$Q$23)),Q20)*100</f>
        <v>90.9</v>
      </c>
      <c r="W20" s="4" cm="1">
        <f t="array" ref="W20">_xlfn.PERCENTRANK.EXC(_xlfn._xlws.FILTER($O$3:$O$23, ISNUMBER($O$3:$O$23)),O20)*100</f>
        <v>90.9</v>
      </c>
      <c r="X20" s="4" cm="1">
        <f t="array" ref="X20">_xlfn.PERCENTRANK.EXC(_xlfn._xlws.FILTER($P$3:$P$23, ISNUMBER($P$3:$P$23)),P20)*100</f>
        <v>95.399999999999991</v>
      </c>
      <c r="Y20" s="200" cm="1">
        <f t="array" ref="Y20">_xlfn.PERCENTRANK.EXC(_xlfn._xlws.FILTER($S$3:$S$23, ISNUMBER($S$3:$S$23)),S20)*100</f>
        <v>95.399999999999991</v>
      </c>
      <c r="Z20" s="4" cm="1">
        <f t="array" ref="Z20">_xlfn.PERCENTRANK.EXC(_xlfn._xlws.FILTER($K$3:$K$23, ISNUMBER($K$3:$K$23)),K20)*100</f>
        <v>77.2</v>
      </c>
      <c r="AA20" s="4" cm="1">
        <f t="array" ref="AA20">_xlfn.PERCENTRANK.EXC(_xlfn._xlws.FILTER($H$3:$H$23, ISNUMBER($H$3:$H$23)),H20)*100</f>
        <v>9</v>
      </c>
      <c r="AB20" s="4" cm="1">
        <f t="array" ref="AB20">_xlfn.PERCENTRANK.EXC(_xlfn._xlws.FILTER($J$3:$J$23, ISNUMBER($J$3:$J$23)),J20)*100</f>
        <v>36.299999999999997</v>
      </c>
      <c r="AC20" s="4">
        <f t="shared" si="4"/>
        <v>4.5</v>
      </c>
      <c r="AD20" s="4">
        <f t="shared" si="5"/>
        <v>4.5</v>
      </c>
      <c r="AE20" s="4">
        <f t="shared" si="6"/>
        <v>45.4</v>
      </c>
      <c r="AF20" s="4">
        <f>'Economic Momentum'!Q21</f>
        <v>9</v>
      </c>
      <c r="AG20" s="4">
        <f ca="1">'Economic Momentum'!R21</f>
        <v>13.600000000000001</v>
      </c>
      <c r="AH20" s="4">
        <f t="shared" ca="1" si="7"/>
        <v>92.25</v>
      </c>
      <c r="AJ20" s="3" cm="1">
        <f t="array" aca="1" ref="AJ20" ca="1">_xlfn.PERCENTRANK.EXC(_xlfn._xlws.FILTER($AH$3:$AH$23, ISNUMBER($AH$3:$AH$23)),AH20)*100</f>
        <v>95.399999999999991</v>
      </c>
      <c r="AK20">
        <f t="shared" si="8"/>
        <v>5</v>
      </c>
      <c r="AM20" s="4"/>
    </row>
    <row r="21" spans="1:39" x14ac:dyDescent="0.35">
      <c r="A21" t="s">
        <v>34</v>
      </c>
      <c r="B21" t="s">
        <v>447</v>
      </c>
      <c r="C21" t="s">
        <v>34</v>
      </c>
      <c r="D21" s="153">
        <f>VLOOKUP(C21,'Market Capitalisation'!$C$2:$G$31,5,FALSE)</f>
        <v>876198.5</v>
      </c>
      <c r="E21" cm="1">
        <f t="array" ref="E21">_xll.FDS(C21,"FMA_COS_UP(""EPS"",""1M"",+1,NOW,,,""PORTAGG"",""MEANR"")")</f>
        <v>8</v>
      </c>
      <c r="F21" cm="1">
        <f t="array" ref="F21">_xll.FDS(C21,"FMA_COS_DOWN(""EPS"",""1M"",+1,NOW,,,""PORTAGG"",""MEANR"")")</f>
        <v>7</v>
      </c>
      <c r="G21" cm="1">
        <f t="array" ref="G21">_xll.FDS(A21,"SIZE(FG_CONSTITUENTS)")</f>
        <v>43</v>
      </c>
      <c r="H21" s="9">
        <f t="shared" si="0"/>
        <v>0.18604651162790697</v>
      </c>
      <c r="I21" s="9">
        <f t="shared" si="1"/>
        <v>0.16279069767441862</v>
      </c>
      <c r="J21" s="9">
        <f t="shared" si="2"/>
        <v>2.3255813953488358E-2</v>
      </c>
      <c r="K21" s="5" cm="1">
        <f t="array" ref="K21">_xll.FDS(A21,"FMA_PCT_ABOVE_MAVG(200,0,,,,""PORTAGG"")")/100</f>
        <v>0.29729729729729704</v>
      </c>
      <c r="L21" s="41" cm="1">
        <f t="array" ref="L21">_xll.FDSB(A21,"PERCENT_CHANGE(FMA_EPS(+1,0,,,,""PORTAGG"",""MEAN""),FMA_EPS(+1,-1AM,,,,""PORTAGG"",""MEAN""))")</f>
        <v>-0.40905441132515902</v>
      </c>
      <c r="M21" s="41" cm="1">
        <f t="array" ref="M21">_xll.FDSB(A21,"PERCENT_CHANGE(FMA_EPS(+1,0,,,,""PORTAGG"",""MEAN""),FMA_EPS(+1,-3AM,,,,""PORTAGG"",""MEAN""))")</f>
        <v>2.0862827608945098</v>
      </c>
      <c r="N21" s="3" cm="1">
        <f t="array" ref="N21">_xll.FDS(C21,"FG_TOTAL_RETURNC(0,-1AM)")</f>
        <v>5.7820679999999998</v>
      </c>
      <c r="O21" s="3" cm="1">
        <f t="array" ref="O21">_xll.FDS(C21,"FG_TOTAL_RETURNC(0,-3AM)")</f>
        <v>2.8559565999999998</v>
      </c>
      <c r="P21" s="3" cm="1">
        <f t="array" ref="P21">_xll.FDS(C21,"FG_TOTAL_RETURNC(0,-6AM)")</f>
        <v>-0.65754056000000005</v>
      </c>
      <c r="Q21" s="9" cm="1">
        <f t="array" ref="Q21">_xll.FDS(C21,"P_PRICE(0)/P_PRICE_HIGH_PR(0,,,,,,""PRICE"",""INTRA"",""52W"")")</f>
        <v>0.90977483999999997</v>
      </c>
      <c r="R21" s="9" cm="1">
        <f t="array" ref="R21">_xll.FDS(C21,"P_PRICE(0)/P_PRICE_low_PR(0,,,,,,""PRICE"",""INTRA"",""52W"")-1")</f>
        <v>7.7387689999999995E-2</v>
      </c>
      <c r="S21" s="3" cm="1">
        <f t="array" ref="S21">_xll.FDS(C21,"FG_TOTAL_RETURNC(0,-12AM)")</f>
        <v>-0.40897129999999998</v>
      </c>
      <c r="T21" s="4" cm="1">
        <f t="array" ref="T21">_xlfn.PERCENTRANK.EXC(_xlfn._xlws.FILTER($R$3:$R$23, ISNUMBER($R$3:$R$23)),R21)*100</f>
        <v>18.099999999999998</v>
      </c>
      <c r="U21" s="4">
        <f t="shared" si="3"/>
        <v>81.900000000000006</v>
      </c>
      <c r="V21" s="4" cm="1">
        <f t="array" ref="V21">_xlfn.PERCENTRANK.EXC(_xlfn._xlws.FILTER($Q$3:$Q$23, ISNUMBER($Q$3:$Q$23)),Q21)*100</f>
        <v>45.4</v>
      </c>
      <c r="W21" s="4" cm="1">
        <f t="array" ref="W21">_xlfn.PERCENTRANK.EXC(_xlfn._xlws.FILTER($O$3:$O$23, ISNUMBER($O$3:$O$23)),O21)*100</f>
        <v>45.4</v>
      </c>
      <c r="X21" s="4" cm="1">
        <f t="array" ref="X21">_xlfn.PERCENTRANK.EXC(_xlfn._xlws.FILTER($P$3:$P$23, ISNUMBER($P$3:$P$23)),P21)*100</f>
        <v>31.8</v>
      </c>
      <c r="Y21" s="200" cm="1">
        <f t="array" ref="Y21">_xlfn.PERCENTRANK.EXC(_xlfn._xlws.FILTER($S$3:$S$23, ISNUMBER($S$3:$S$23)),S21)*100</f>
        <v>50</v>
      </c>
      <c r="Z21" s="4" cm="1">
        <f t="array" ref="Z21">_xlfn.PERCENTRANK.EXC(_xlfn._xlws.FILTER($K$3:$K$23, ISNUMBER($K$3:$K$23)),K21)*100</f>
        <v>13.600000000000001</v>
      </c>
      <c r="AA21" s="4" cm="1">
        <f t="array" ref="AA21">_xlfn.PERCENTRANK.EXC(_xlfn._xlws.FILTER($H$3:$H$23, ISNUMBER($H$3:$H$23)),H21)*100</f>
        <v>27.200000000000003</v>
      </c>
      <c r="AB21" s="4" cm="1">
        <f t="array" ref="AB21">_xlfn.PERCENTRANK.EXC(_xlfn._xlws.FILTER($J$3:$J$23, ISNUMBER($J$3:$J$23)),J21)*100</f>
        <v>63.6</v>
      </c>
      <c r="AC21" s="4">
        <f t="shared" si="4"/>
        <v>54.500000000000007</v>
      </c>
      <c r="AD21" s="4">
        <f t="shared" si="5"/>
        <v>68.100000000000009</v>
      </c>
      <c r="AE21" s="4">
        <f t="shared" si="6"/>
        <v>68.100000000000009</v>
      </c>
      <c r="AF21" s="4">
        <f>'Economic Momentum'!Q22</f>
        <v>54.500000000000007</v>
      </c>
      <c r="AG21" s="4">
        <f ca="1">'Economic Momentum'!R22</f>
        <v>40.9</v>
      </c>
      <c r="AH21" s="4">
        <f t="shared" ca="1" si="7"/>
        <v>41.32</v>
      </c>
      <c r="AJ21" s="3" cm="1">
        <f t="array" aca="1" ref="AJ21" ca="1">_xlfn.PERCENTRANK.EXC(_xlfn._xlws.FILTER($AH$3:$AH$23, ISNUMBER($AH$3:$AH$23)),AH21)*100</f>
        <v>45.4</v>
      </c>
      <c r="AK21">
        <f t="shared" si="8"/>
        <v>0</v>
      </c>
      <c r="AM21" s="4"/>
    </row>
    <row r="22" spans="1:39" x14ac:dyDescent="0.35">
      <c r="A22" t="s">
        <v>37</v>
      </c>
      <c r="B22" t="s">
        <v>448</v>
      </c>
      <c r="C22" t="s">
        <v>37</v>
      </c>
      <c r="D22" s="153">
        <f>VLOOKUP(C22,'Market Capitalisation'!$C$2:$G$31,5,FALSE)</f>
        <v>23454.447982999998</v>
      </c>
      <c r="E22" cm="1">
        <f t="array" ref="E22">_xll.FDS(C22,"FMA_COS_UP(""EPS"",""1M"",+1,NOW,,,""PORTAGG"",""MEANR"")")</f>
        <v>8</v>
      </c>
      <c r="F22" cm="1">
        <f t="array" ref="F22">_xll.FDS(C22,"FMA_COS_DOWN(""EPS"",""1M"",+1,NOW,,,""PORTAGG"",""MEANR"")")</f>
        <v>12</v>
      </c>
      <c r="G22" cm="1">
        <f t="array" ref="G22">_xll.FDS(A22,"SIZE(FG_CONSTITUENTS)")</f>
        <v>49</v>
      </c>
      <c r="H22" s="9">
        <f t="shared" si="0"/>
        <v>0.16326530612244897</v>
      </c>
      <c r="I22" s="9">
        <f t="shared" si="1"/>
        <v>0.24489795918367346</v>
      </c>
      <c r="J22" s="9">
        <f t="shared" si="2"/>
        <v>-8.1632653061224497E-2</v>
      </c>
      <c r="K22" s="5" cm="1">
        <f t="array" ref="K22">_xll.FDS(A22,"FMA_PCT_ABOVE_MAVG(200,0,,,,""PORTAGG"")")/100</f>
        <v>0.54166666666666696</v>
      </c>
      <c r="L22" s="41" cm="1">
        <f t="array" ref="L22">_xll.FDSB(A22,"PERCENT_CHANGE(FMA_EPS(+1,0,,,,""PORTAGG"",""MEAN""),FMA_EPS(+1,-1AM,,,,""PORTAGG"",""MEAN""))")</f>
        <v>4.4482748381214803</v>
      </c>
      <c r="M22" s="41" cm="1">
        <f t="array" ref="M22">_xll.FDSB(A22,"PERCENT_CHANGE(FMA_EPS(+1,0,,,,""PORTAGG"",""MEAN""),FMA_EPS(+1,-3AM,,,,""PORTAGG"",""MEAN""))")</f>
        <v>4.9622679601456303</v>
      </c>
      <c r="N22" s="3" cm="1">
        <f t="array" ref="N22">_xll.FDS(C22,"FG_TOTAL_RETURNC(0,-1AM)")</f>
        <v>-5.1927624000000003</v>
      </c>
      <c r="O22" s="3" cm="1">
        <f t="array" ref="O22">_xll.FDS(C22,"FG_TOTAL_RETURNC(0,-3AM)")</f>
        <v>1.6877651</v>
      </c>
      <c r="P22" s="3" cm="1">
        <f t="array" ref="P22">_xll.FDS(C22,"FG_TOTAL_RETURNC(0,-6AM)")</f>
        <v>-6.8058785999999998</v>
      </c>
      <c r="Q22" s="9" cm="1">
        <f t="array" ref="Q22">_xll.FDS(C22,"P_PRICE(0)/P_PRICE_HIGH_PR(0,,,,,,""PRICE"",""INTRA"",""52W"")")</f>
        <v>0.77021413999999999</v>
      </c>
      <c r="R22" s="9" cm="1">
        <f t="array" ref="R22">_xll.FDS(C22,"P_PRICE(0)/P_PRICE_low_PR(0,,,,,,""PRICE"",""INTRA"",""52W"")-1")</f>
        <v>4.6915770000000002E-2</v>
      </c>
      <c r="S22" s="3" cm="1">
        <f t="array" ref="S22">_xll.FDS(C22,"FG_TOTAL_RETURNC(0,-12AM)")</f>
        <v>-8.9861810000000002</v>
      </c>
      <c r="T22" s="4" cm="1">
        <f t="array" ref="T22">_xlfn.PERCENTRANK.EXC(_xlfn._xlws.FILTER($R$3:$R$23, ISNUMBER($R$3:$R$23)),R22)*100</f>
        <v>13.600000000000001</v>
      </c>
      <c r="U22" s="4">
        <f t="shared" si="3"/>
        <v>86.4</v>
      </c>
      <c r="V22" s="4" cm="1">
        <f t="array" ref="V22">_xlfn.PERCENTRANK.EXC(_xlfn._xlws.FILTER($Q$3:$Q$23, ISNUMBER($Q$3:$Q$23)),Q22)*100</f>
        <v>4.5</v>
      </c>
      <c r="W22" s="4" cm="1">
        <f t="array" ref="W22">_xlfn.PERCENTRANK.EXC(_xlfn._xlws.FILTER($O$3:$O$23, ISNUMBER($O$3:$O$23)),O22)*100</f>
        <v>31.8</v>
      </c>
      <c r="X22" s="4" cm="1">
        <f t="array" ref="X22">_xlfn.PERCENTRANK.EXC(_xlfn._xlws.FILTER($P$3:$P$23, ISNUMBER($P$3:$P$23)),P22)*100</f>
        <v>13.600000000000001</v>
      </c>
      <c r="Y22" s="200" cm="1">
        <f t="array" ref="Y22">_xlfn.PERCENTRANK.EXC(_xlfn._xlws.FILTER($S$3:$S$23, ISNUMBER($S$3:$S$23)),S22)*100</f>
        <v>18.099999999999998</v>
      </c>
      <c r="Z22" s="4" cm="1">
        <f t="array" ref="Z22">_xlfn.PERCENTRANK.EXC(_xlfn._xlws.FILTER($K$3:$K$23, ISNUMBER($K$3:$K$23)),K22)*100</f>
        <v>40.9</v>
      </c>
      <c r="AA22" s="4" cm="1">
        <f t="array" ref="AA22">_xlfn.PERCENTRANK.EXC(_xlfn._xlws.FILTER($H$3:$H$23, ISNUMBER($H$3:$H$23)),H22)*100</f>
        <v>22.7</v>
      </c>
      <c r="AB22" s="4" cm="1">
        <f t="array" ref="AB22">_xlfn.PERCENTRANK.EXC(_xlfn._xlws.FILTER($J$3:$J$23, ISNUMBER($J$3:$J$23)),J22)*100</f>
        <v>31.8</v>
      </c>
      <c r="AC22" s="4">
        <f t="shared" si="4"/>
        <v>90.9</v>
      </c>
      <c r="AD22" s="4">
        <f t="shared" si="5"/>
        <v>81.8</v>
      </c>
      <c r="AE22" s="4">
        <f t="shared" si="6"/>
        <v>4.5</v>
      </c>
      <c r="AF22" s="4">
        <f>'Economic Momentum'!Q23</f>
        <v>81.8</v>
      </c>
      <c r="AG22" s="4">
        <f ca="1">'Economic Momentum'!R23</f>
        <v>81.8</v>
      </c>
      <c r="AH22" s="4">
        <f t="shared" ca="1" si="7"/>
        <v>15.42</v>
      </c>
      <c r="AJ22" s="3" cm="1">
        <f t="array" aca="1" ref="AJ22" ca="1">_xlfn.PERCENTRANK.EXC(_xlfn._xlws.FILTER($AH$3:$AH$23, ISNUMBER($AH$3:$AH$23)),AH22)*100</f>
        <v>13.600000000000001</v>
      </c>
      <c r="AK22">
        <f t="shared" si="8"/>
        <v>0</v>
      </c>
      <c r="AM22" s="4"/>
    </row>
    <row r="23" spans="1:39" x14ac:dyDescent="0.35">
      <c r="A23" t="s">
        <v>36</v>
      </c>
      <c r="B23" t="s">
        <v>449</v>
      </c>
      <c r="C23" t="s">
        <v>36</v>
      </c>
      <c r="D23" s="153">
        <f>VLOOKUP(C23,'Market Capitalisation'!$C$2:$G$31,5,FALSE)</f>
        <v>2787797.8</v>
      </c>
      <c r="E23" cm="1">
        <f t="array" ref="E23">_xll.FDS(C23,"FMA_COS_UP(""EPS"",""1M"",+1,NOW,,,""PORTAGG"",""MEANR"")")</f>
        <v>19</v>
      </c>
      <c r="F23" cm="1">
        <f t="array" ref="F23">_xll.FDS(C23,"FMA_COS_DOWN(""EPS"",""1M"",+1,NOW,,,""PORTAGG"",""MEANR"")")</f>
        <v>34</v>
      </c>
      <c r="G23" cm="1">
        <f t="array" ref="G23">_xll.FDS(A23,"SIZE(FG_CONSTITUENTS)")</f>
        <v>124</v>
      </c>
      <c r="H23" s="9">
        <f t="shared" si="0"/>
        <v>0.15322580645161291</v>
      </c>
      <c r="I23" s="9">
        <f t="shared" si="1"/>
        <v>0.27419354838709675</v>
      </c>
      <c r="J23" s="9">
        <f t="shared" si="2"/>
        <v>-0.12096774193548385</v>
      </c>
      <c r="K23" s="5" cm="1">
        <f t="array" ref="K23">_xll.FDS(A23,"FMA_PCT_ABOVE_MAVG(200,0,,,,""PORTAGG"")")/100</f>
        <v>0.55737704918032793</v>
      </c>
      <c r="L23" s="41" cm="1">
        <f t="array" ref="L23">_xll.FDSB(A23,"PERCENT_CHANGE(FMA_EPS(+1,0,,,,""PORTAGG"",""MEAN""),FMA_EPS(+1,-1AM,,,,""PORTAGG"",""MEAN""))")</f>
        <v>-4.2857654968421102</v>
      </c>
      <c r="M23" s="41" cm="1">
        <f t="array" ref="M23">_xll.FDSB(A23,"PERCENT_CHANGE(FMA_EPS(+1,0,,,,""PORTAGG"",""MEAN""),FMA_EPS(+1,-3AM,,,,""PORTAGG"",""MEAN""))")</f>
        <v>-3.4803521258000401</v>
      </c>
      <c r="N23" s="3" cm="1">
        <f t="array" ref="N23">_xll.FDS(C23,"FG_TOTAL_RETURNC(0,-1AM)")</f>
        <v>1.9151568000000001</v>
      </c>
      <c r="O23" s="3" cm="1">
        <f t="array" ref="O23">_xll.FDS(C23,"FG_TOTAL_RETURNC(0,-3AM)")</f>
        <v>-1.2492715999999999</v>
      </c>
      <c r="P23" s="3" cm="1">
        <f t="array" ref="P23">_xll.FDS(C23,"FG_TOTAL_RETURNC(0,-6AM)")</f>
        <v>0.89900493999999997</v>
      </c>
      <c r="Q23" s="9" cm="1">
        <f t="array" ref="Q23">_xll.FDS(C23,"P_PRICE(0)/P_PRICE_HIGH_PR(0,,,,,,""PRICE"",""INTRA"",""52W"")")</f>
        <v>0.93225413999999995</v>
      </c>
      <c r="R23" s="9" cm="1">
        <f t="array" ref="R23">_xll.FDS(C23,"P_PRICE(0)/P_PRICE_low_PR(0,,,,,,""PRICE"",""INTRA"",""52W"")-1")</f>
        <v>0.16100526000000001</v>
      </c>
      <c r="S23" s="3" cm="1">
        <f t="array" ref="S23">_xll.FDS(C23,"FG_TOTAL_RETURNC(0,-12AM)")</f>
        <v>2.3836135999999999</v>
      </c>
      <c r="T23" s="4" cm="1">
        <f t="array" ref="T23">_xlfn.PERCENTRANK.EXC(_xlfn._xlws.FILTER($R$3:$R$23, ISNUMBER($R$3:$R$23)),R23)*100</f>
        <v>54.500000000000007</v>
      </c>
      <c r="U23" s="4">
        <f t="shared" si="3"/>
        <v>45.499999999999993</v>
      </c>
      <c r="V23" s="4" cm="1">
        <f t="array" ref="V23">_xlfn.PERCENTRANK.EXC(_xlfn._xlws.FILTER($Q$3:$Q$23, ISNUMBER($Q$3:$Q$23)),Q23)*100</f>
        <v>63.6</v>
      </c>
      <c r="W23" s="4" cm="1">
        <f t="array" ref="W23">_xlfn.PERCENTRANK.EXC(_xlfn._xlws.FILTER($O$3:$O$23, ISNUMBER($O$3:$O$23)),O23)*100</f>
        <v>13.600000000000001</v>
      </c>
      <c r="X23" s="4" cm="1">
        <f t="array" ref="X23">_xlfn.PERCENTRANK.EXC(_xlfn._xlws.FILTER($P$3:$P$23, ISNUMBER($P$3:$P$23)),P23)*100</f>
        <v>36.299999999999997</v>
      </c>
      <c r="Y23" s="200" cm="1">
        <f t="array" ref="Y23">_xlfn.PERCENTRANK.EXC(_xlfn._xlws.FILTER($S$3:$S$23, ISNUMBER($S$3:$S$23)),S23)*100</f>
        <v>59</v>
      </c>
      <c r="Z23" s="4" cm="1">
        <f t="array" ref="Z23">_xlfn.PERCENTRANK.EXC(_xlfn._xlws.FILTER($K$3:$K$23, ISNUMBER($K$3:$K$23)),K23)*100</f>
        <v>50</v>
      </c>
      <c r="AA23" s="4" cm="1">
        <f t="array" ref="AA23">_xlfn.PERCENTRANK.EXC(_xlfn._xlws.FILTER($H$3:$H$23, ISNUMBER($H$3:$H$23)),H23)*100</f>
        <v>18.099999999999998</v>
      </c>
      <c r="AB23" s="4" cm="1">
        <f t="array" ref="AB23">_xlfn.PERCENTRANK.EXC(_xlfn._xlws.FILTER($J$3:$J$23, ISNUMBER($J$3:$J$23)),J23)*100</f>
        <v>27.200000000000003</v>
      </c>
      <c r="AC23" s="4">
        <f t="shared" si="4"/>
        <v>13.600000000000001</v>
      </c>
      <c r="AD23" s="4">
        <f t="shared" si="5"/>
        <v>36.299999999999997</v>
      </c>
      <c r="AE23" s="4">
        <f t="shared" si="6"/>
        <v>81.8</v>
      </c>
      <c r="AF23" s="4">
        <f>'Economic Momentum'!Q24</f>
        <v>86.3</v>
      </c>
      <c r="AG23" s="4">
        <f ca="1">'Economic Momentum'!R24</f>
        <v>27.200000000000003</v>
      </c>
      <c r="AH23" s="4">
        <f t="shared" ca="1" si="7"/>
        <v>40.410000000000004</v>
      </c>
      <c r="AJ23" s="3" cm="1">
        <f t="array" aca="1" ref="AJ23" ca="1">_xlfn.PERCENTRANK.EXC(_xlfn._xlws.FILTER($AH$3:$AH$23, ISNUMBER($AH$3:$AH$23)),AH23)*100</f>
        <v>40.9</v>
      </c>
      <c r="AK23">
        <f t="shared" si="8"/>
        <v>0</v>
      </c>
      <c r="AM23" s="4"/>
    </row>
    <row r="24" spans="1:39" x14ac:dyDescent="0.35">
      <c r="H24" s="9"/>
      <c r="I24" s="9"/>
      <c r="J24" s="9"/>
      <c r="K24" s="5"/>
      <c r="L24" s="41"/>
      <c r="M24" s="41"/>
      <c r="O24" s="3"/>
      <c r="P24" s="3"/>
      <c r="Q24" s="9"/>
      <c r="V24" s="4"/>
      <c r="W24" s="4"/>
      <c r="X24" s="4"/>
      <c r="Z24" s="4"/>
      <c r="AA24" s="4"/>
      <c r="AB24" s="4"/>
      <c r="AC24" s="4"/>
      <c r="AD24" s="4"/>
      <c r="AE24" s="4"/>
      <c r="AF24" s="4"/>
      <c r="AG24" s="4"/>
      <c r="AH24" s="4"/>
      <c r="AJ24" s="4"/>
    </row>
    <row r="25" spans="1:39" x14ac:dyDescent="0.35">
      <c r="H25" s="9"/>
      <c r="I25" s="9"/>
      <c r="J25" s="9"/>
      <c r="K25" s="5"/>
      <c r="L25" s="41"/>
      <c r="M25" s="41"/>
      <c r="O25" s="3"/>
      <c r="P25" s="3"/>
      <c r="Q25" s="9"/>
      <c r="V25" s="4"/>
      <c r="W25" s="4"/>
      <c r="X25" s="4"/>
      <c r="Z25" s="4"/>
      <c r="AA25" s="4"/>
      <c r="AB25" s="4"/>
      <c r="AC25" s="4"/>
      <c r="AD25" s="4"/>
      <c r="AE25" s="4"/>
      <c r="AF25" s="4"/>
      <c r="AG25" s="4"/>
      <c r="AH25" s="4"/>
      <c r="AJ25" s="4"/>
    </row>
    <row r="26" spans="1:39" x14ac:dyDescent="0.35">
      <c r="H26" s="9"/>
      <c r="I26" s="9"/>
      <c r="J26" s="9"/>
      <c r="K26" s="5"/>
      <c r="L26" s="41"/>
      <c r="M26" s="41"/>
      <c r="O26" s="3"/>
      <c r="P26" s="3"/>
      <c r="Q26" s="9"/>
      <c r="V26" s="4"/>
      <c r="W26" s="4"/>
      <c r="X26" s="4"/>
      <c r="Z26" s="4"/>
      <c r="AA26" s="4"/>
      <c r="AB26" s="4"/>
      <c r="AC26" s="4"/>
      <c r="AD26" s="4"/>
      <c r="AE26" s="4"/>
      <c r="AF26" s="4"/>
      <c r="AG26" s="4"/>
      <c r="AH26" s="4"/>
      <c r="AJ26" s="4"/>
    </row>
    <row r="27" spans="1:39" x14ac:dyDescent="0.35">
      <c r="H27" s="9"/>
      <c r="I27" s="9"/>
      <c r="J27" s="9"/>
      <c r="K27" s="5"/>
      <c r="L27" s="41"/>
      <c r="M27" s="41"/>
      <c r="O27" s="3"/>
      <c r="Q27" s="9"/>
      <c r="R27" s="9"/>
      <c r="V27" s="4"/>
      <c r="W27" s="4"/>
      <c r="X27" s="4"/>
      <c r="Z27" s="4"/>
      <c r="AA27" s="4"/>
      <c r="AB27" s="4"/>
      <c r="AC27" s="4"/>
      <c r="AD27" s="4"/>
      <c r="AE27" s="4"/>
      <c r="AF27" s="4"/>
      <c r="AG27" s="4"/>
      <c r="AH27" s="4"/>
      <c r="AJ27" s="4"/>
    </row>
    <row r="28" spans="1:39" x14ac:dyDescent="0.35">
      <c r="H28" s="9"/>
      <c r="I28" s="9"/>
      <c r="J28" s="9"/>
      <c r="K28" s="5"/>
      <c r="L28" s="41"/>
      <c r="M28" s="41"/>
      <c r="O28" s="3"/>
      <c r="Q28" s="9"/>
      <c r="R28" s="9"/>
      <c r="V28" s="4"/>
      <c r="W28" s="4"/>
      <c r="X28" s="4"/>
      <c r="Z28" s="4"/>
      <c r="AA28" s="4"/>
      <c r="AB28" s="4"/>
      <c r="AC28" s="4"/>
      <c r="AD28" s="4"/>
      <c r="AE28" s="4"/>
      <c r="AF28" s="4"/>
      <c r="AG28" s="4"/>
      <c r="AH28" s="4"/>
      <c r="AJ28" s="4"/>
    </row>
    <row r="29" spans="1:39" x14ac:dyDescent="0.35">
      <c r="A29" s="1" t="s">
        <v>803</v>
      </c>
      <c r="H29" s="9"/>
      <c r="I29" s="9"/>
      <c r="J29" s="9"/>
      <c r="K29" s="5"/>
      <c r="L29" s="41"/>
      <c r="M29" s="41"/>
      <c r="O29" s="3"/>
      <c r="Q29" s="9"/>
      <c r="R29" s="9"/>
      <c r="V29" s="4"/>
      <c r="W29" s="4"/>
      <c r="X29" s="4"/>
      <c r="Z29" s="4"/>
      <c r="AA29" s="4"/>
      <c r="AB29" s="4"/>
      <c r="AC29" s="4"/>
      <c r="AD29" s="4"/>
      <c r="AE29" s="4"/>
      <c r="AF29" s="4"/>
      <c r="AG29" s="4"/>
      <c r="AH29" s="4"/>
      <c r="AJ29" s="4"/>
    </row>
    <row r="30" spans="1:39" x14ac:dyDescent="0.35">
      <c r="A30" t="s">
        <v>547</v>
      </c>
      <c r="B30" t="s">
        <v>227</v>
      </c>
      <c r="C30" t="str">
        <f>A30</f>
        <v>VGK</v>
      </c>
      <c r="E30" cm="1">
        <f t="array" ref="E30">_xll.FDS(C30,"FMA_COS_UP(""EPS"",""1M"",+1,NOW,,,""PORTAGG"",""MEANR"")")</f>
        <v>515</v>
      </c>
      <c r="F30" cm="1">
        <f t="array" ref="F30">_xll.FDS(C30,"FMA_COS_DOWN(""EPS"",""1M"",+1,NOW,,,""PORTAGG"",""MEANR"")")</f>
        <v>438</v>
      </c>
      <c r="G30" cm="1">
        <f t="array" ref="G30">_xll.FDS(A30,"SIZE(FG_CONSTITUENTS)")</f>
        <v>1283</v>
      </c>
      <c r="H30" s="9">
        <f>E30/$G30</f>
        <v>0.4014029618082619</v>
      </c>
      <c r="I30" s="9">
        <f>F30/$G30</f>
        <v>0.34138737334372565</v>
      </c>
      <c r="J30" s="9">
        <f t="shared" ref="J30" si="9">H30-I30</f>
        <v>6.0015588464536251E-2</v>
      </c>
      <c r="K30" s="5" cm="1">
        <f t="array" ref="K30">_xll.FDS(A30,"FMA_PCT_ABOVE_MAVG(200,0,,,,""PORTAGG"")")/100</f>
        <v>0.7321144674085851</v>
      </c>
      <c r="L30" s="41" cm="1">
        <f t="array" ref="L30">_xll.FDSB(A30,"PERCENT_CHANGE(FMA_EPS(+1,0,,,,""PORTAGG"",""MEAN""),FMA_EPS(+1,-1AM,,,,""PORTAGG"",""MEAN""))")</f>
        <v>0</v>
      </c>
      <c r="M30" s="41" cm="1">
        <f t="array" ref="M30">_xll.FDSB(A30,"PERCENT_CHANGE(FMA_EPS(+1,0,,,,""PORTAGG"",""MEAN""),FMA_EPS(+1,-3AM,,,,""PORTAGG"",""MEAN""))")</f>
        <v>3.2539217669926601</v>
      </c>
      <c r="O30" s="3" cm="1">
        <f t="array" ref="O30">_xll.FDS(C30,"FG_TOTAL_RETURNC(0,-3AM)")</f>
        <v>6.2323449999999996</v>
      </c>
      <c r="P30" s="3" cm="1">
        <f t="array" ref="P30">_xll.FDS(C30,"FG_TOTAL_RETURNC(0,-6AM)")</f>
        <v>10.566032</v>
      </c>
      <c r="Q30" s="9" cm="1">
        <f t="array" ref="Q30">_xll.FDS(C30,"P_PRICE(0)/P_PRICE_HIGH_PR(0,,,,,,""PRICE"",""INTRA"",""52W"")")</f>
        <v>0.95748140000000004</v>
      </c>
      <c r="R30" s="9" cm="1">
        <f t="array" ref="R30">_xll.FDS(C30,"P_PRICE(0)/P_PRICE_low_PR(0,,,,,,""PRICE"",""INTRA"",""52W"")-1")</f>
        <v>0.22902285999999999</v>
      </c>
      <c r="W30" s="4"/>
      <c r="X30" s="4"/>
      <c r="Y30" s="200"/>
      <c r="AA30" s="4"/>
      <c r="AB30" s="4"/>
      <c r="AC30" s="4"/>
      <c r="AD30" s="4"/>
      <c r="AE30" s="4"/>
      <c r="AF30" s="4"/>
      <c r="AG30" s="4"/>
      <c r="AH30" s="4"/>
      <c r="AI30" s="4"/>
      <c r="AK30" s="4"/>
    </row>
    <row r="31" spans="1:39" x14ac:dyDescent="0.35">
      <c r="A31" t="s">
        <v>6</v>
      </c>
      <c r="B31" t="s">
        <v>762</v>
      </c>
      <c r="C31" t="str">
        <f>A31</f>
        <v>VWO</v>
      </c>
      <c r="E31" cm="1">
        <f t="array" ref="E31">_xll.FDS(C31,"FMA_COS_UP(""EPS"",""1M"",+1,NOW,,,""PORTAGG"",""MEANR"")")</f>
        <v>1000</v>
      </c>
      <c r="F31" cm="1">
        <f t="array" ref="F31">_xll.FDS(C31,"FMA_COS_DOWN(""EPS"",""1M"",+1,NOW,,,""PORTAGG"",""MEANR"")")</f>
        <v>1328</v>
      </c>
      <c r="G31" cm="1">
        <f t="array" ref="G31">_xll.FDS(A31,"SIZE(FG_CONSTITUENTS)")</f>
        <v>4776</v>
      </c>
      <c r="H31" s="9">
        <f>E31/$G31</f>
        <v>0.20938023450586266</v>
      </c>
      <c r="I31" s="9">
        <f>F31/$G31</f>
        <v>0.27805695142378561</v>
      </c>
      <c r="J31" s="9">
        <f t="shared" ref="J31" si="10">H31-I31</f>
        <v>-6.8676716917922959E-2</v>
      </c>
      <c r="K31" s="5" cm="1">
        <f t="array" ref="K31">_xll.FDS(A31,"FMA_PCT_ABOVE_MAVG(200,0,,,,""PORTAGG"")")/100</f>
        <v>0.45853029651912303</v>
      </c>
      <c r="L31" s="41" cm="1">
        <f t="array" ref="L31">_xll.FDSB(A31,"PERCENT_CHANGE(FMA_EPS(+1,0,,,,""PORTAGG"",""MEAN""),FMA_EPS(+1,-1AM,,,,""PORTAGG"",""MEAN""))")</f>
        <v>0</v>
      </c>
      <c r="M31" s="41" cm="1">
        <f t="array" ref="M31">_xll.FDSB(A31,"PERCENT_CHANGE(FMA_EPS(+1,0,,,,""PORTAGG"",""MEAN""),FMA_EPS(+1,-3AM,,,,""PORTAGG"",""MEAN""))")</f>
        <v>-0.34121813444979099</v>
      </c>
      <c r="O31" s="3" cm="1">
        <f t="array" ref="O31">_xll.FDS(C31,"FG_TOTAL_RETURNC(0,-3AM)")</f>
        <v>7.8511240000000004</v>
      </c>
      <c r="P31" s="3" cm="1">
        <f t="array" ref="P31">_xll.FDS(C31,"FG_TOTAL_RETURNC(0,-6AM)")</f>
        <v>11.383141</v>
      </c>
      <c r="Q31" s="9" cm="1">
        <f t="array" ref="Q31">_xll.FDS(C31,"P_PRICE(0)/P_PRICE_HIGH_PR(0,,,,,,""PRICE"",""INTRA"",""52W"")")</f>
        <v>0.96074360000000003</v>
      </c>
      <c r="R31" s="9" cm="1">
        <f t="array" ref="R31">_xll.FDS(C31,"P_PRICE(0)/P_PRICE_low_PR(0,,,,,,""PRICE"",""INTRA"",""52W"")-1")</f>
        <v>0.1728741</v>
      </c>
    </row>
    <row r="32" spans="1:39" x14ac:dyDescent="0.35">
      <c r="A32" t="s">
        <v>804</v>
      </c>
      <c r="B32" t="s">
        <v>805</v>
      </c>
      <c r="C32" t="str">
        <f t="shared" ref="C32" si="11">A32</f>
        <v>URTH</v>
      </c>
      <c r="E32" cm="1">
        <f t="array" ref="E32">_xll.FDS(C32,"FMA_COS_UP(""EPS"",""1M"",+1,NOW,,,""PORTAGG"",""MEANR"")")</f>
        <v>524</v>
      </c>
      <c r="F32" cm="1">
        <f t="array" ref="F32">_xll.FDS(C32,"FMA_COS_DOWN(""EPS"",""1M"",+1,NOW,,,""PORTAGG"",""MEANR"")")</f>
        <v>607</v>
      </c>
      <c r="G32" cm="1">
        <f t="array" ref="G32">_xll.FDS(A32,"SIZE(FG_CONSTITUENTS)")</f>
        <v>1430</v>
      </c>
      <c r="H32" s="9">
        <f t="shared" ref="H32" si="12">E32/$G32</f>
        <v>0.36643356643356645</v>
      </c>
      <c r="I32" s="9">
        <f t="shared" ref="I32" si="13">F32/$G32</f>
        <v>0.4244755244755245</v>
      </c>
      <c r="J32" s="9">
        <f t="shared" ref="J32" si="14">H32-I32</f>
        <v>-5.8041958041958053E-2</v>
      </c>
      <c r="K32" s="5" cm="1">
        <f t="array" ref="K32">_xll.FDS(A32,"FMA_PCT_ABOVE_MAVG(200,0,,,,""PORTAGG"")")/100</f>
        <v>0.72440392706872403</v>
      </c>
      <c r="L32" s="41" cm="1">
        <f t="array" ref="L32">_xll.FDSB(A32,"PERCENT_CHANGE(FMA_EPS(+1,0,,,,""PORTAGG"",""MEAN""),FMA_EPS(+1,-1AM,,,,""PORTAGG"",""MEAN""))")</f>
        <v>3.6143827944110397E-2</v>
      </c>
      <c r="M32" s="41" cm="1">
        <f t="array" ref="M32">_xll.FDSB(A32,"PERCENT_CHANGE(FMA_EPS(+1,0,,,,""PORTAGG"",""MEAN""),FMA_EPS(+1,-3AM,,,,""PORTAGG"",""MEAN""))")</f>
        <v>0.262883172009163</v>
      </c>
      <c r="O32" s="3" cm="1">
        <f t="array" ref="O32">_xll.FDS(C32,"FG_TOTAL_RETURNC(0,-3AM)")</f>
        <v>9.5298770000000008</v>
      </c>
      <c r="P32" s="3" cm="1">
        <f t="array" ref="P32">_xll.FDS(C32,"FG_TOTAL_RETURNC(0,-6AM)")</f>
        <v>12.546182</v>
      </c>
      <c r="Q32" s="9" cm="1">
        <f t="array" ref="Q32">_xll.FDS(C32,"P_PRICE(0)/P_PRICE_HIGH_PR(0,,,,,,""PRICE"",""INTRA"",""52W"")")</f>
        <v>0.97236339999999999</v>
      </c>
      <c r="R32" s="9" cm="1">
        <f t="array" ref="R32">_xll.FDS(C32,"P_PRICE(0)/P_PRICE_low_PR(0,,,,,,""PRICE"",""INTRA"",""52W"")-1")</f>
        <v>0.3006103</v>
      </c>
    </row>
    <row r="33" spans="1:18" x14ac:dyDescent="0.35">
      <c r="A33" t="s">
        <v>46</v>
      </c>
      <c r="B33" t="s">
        <v>842</v>
      </c>
      <c r="C33" t="str">
        <f t="shared" ref="C33:C34" si="15">A33</f>
        <v>EWJ</v>
      </c>
      <c r="E33" cm="1">
        <f t="array" ref="E33">_xll.FDS(C33,"FMA_COS_UP(""EPS"",""1M"",+1,NOW,,,""PORTAGG"",""MEANR"")")</f>
        <v>108</v>
      </c>
      <c r="F33" cm="1">
        <f t="array" ref="F33">_xll.FDS(C33,"FMA_COS_DOWN(""EPS"",""1M"",+1,NOW,,,""PORTAGG"",""MEANR"")")</f>
        <v>63</v>
      </c>
      <c r="G33" cm="1">
        <f t="array" ref="G33">_xll.FDS(A33,"SIZE(FG_CONSTITUENTS)")</f>
        <v>204</v>
      </c>
      <c r="H33" s="9">
        <f t="shared" ref="H33:H34" si="16">E33/$G33</f>
        <v>0.52941176470588236</v>
      </c>
      <c r="I33" s="9">
        <f t="shared" ref="I33:I34" si="17">F33/$G33</f>
        <v>0.30882352941176472</v>
      </c>
      <c r="J33" s="9">
        <f t="shared" ref="J33:J34" si="18">H33-I33</f>
        <v>0.22058823529411764</v>
      </c>
      <c r="K33" s="5" cm="1">
        <f t="array" ref="K33">_xll.FDS(A33,"FMA_PCT_ABOVE_MAVG(200,0,,,,""PORTAGG"")")/100</f>
        <v>0.72058823529411797</v>
      </c>
      <c r="L33" s="41" cm="1">
        <f t="array" ref="L33">_xll.FDSB(A33,"PERCENT_CHANGE(FMA_EPS(+1,0,,,,""PORTAGG"",""MEAN""),FMA_EPS(+1,-1AM,,,,""PORTAGG"",""MEAN""))")</f>
        <v>-0.119033261349642</v>
      </c>
      <c r="M33" s="41" cm="1">
        <f t="array" ref="M33">_xll.FDSB(A33,"PERCENT_CHANGE(FMA_EPS(+1,0,,,,""PORTAGG"",""MEAN""),FMA_EPS(+1,-3AM,,,,""PORTAGG"",""MEAN""))")</f>
        <v>-2.8857116811634498</v>
      </c>
      <c r="O33" s="3" cm="1">
        <f t="array" ref="O33">_xll.FDS(C33,"FG_TOTAL_RETURNC(0,-3AM)")</f>
        <v>6.0051920000000001</v>
      </c>
      <c r="P33" s="3" cm="1">
        <f t="array" ref="P33">_xll.FDS(C33,"FG_TOTAL_RETURNC(0,-6AM)")</f>
        <v>6.9542409999999997</v>
      </c>
      <c r="Q33" s="9" cm="1">
        <f t="array" ref="Q33">_xll.FDS(C33,"P_PRICE(0)/P_PRICE_HIGH_PR(0,,,,,,""PRICE"",""INTRA"",""52W"")")</f>
        <v>0.97079020000000005</v>
      </c>
      <c r="R33" s="9" cm="1">
        <f t="array" ref="R33">_xll.FDS(C33,"P_PRICE(0)/P_PRICE_low_PR(0,,,,,,""PRICE"",""INTRA"",""52W"")-1")</f>
        <v>0.22307694</v>
      </c>
    </row>
    <row r="34" spans="1:18" x14ac:dyDescent="0.35">
      <c r="A34" t="s">
        <v>1</v>
      </c>
      <c r="B34" t="s">
        <v>119</v>
      </c>
      <c r="C34" t="str">
        <f t="shared" si="15"/>
        <v>SPY</v>
      </c>
      <c r="E34" cm="1">
        <f t="array" ref="E34">_xll.FDS(C34,"FMA_COS_UP(""EPS"",""1M"",+1,NOW,,,""PORTAGG"",""MEANR"")")</f>
        <v>170</v>
      </c>
      <c r="F34" cm="1">
        <f t="array" ref="F34">_xll.FDS(C34,"FMA_COS_DOWN(""EPS"",""1M"",+1,NOW,,,""PORTAGG"",""MEANR"")")</f>
        <v>204</v>
      </c>
      <c r="G34" cm="1">
        <f t="array" ref="G34">_xll.FDS(A34,"SIZE(FG_CONSTITUENTS)")</f>
        <v>503</v>
      </c>
      <c r="H34" s="9">
        <f t="shared" si="16"/>
        <v>0.33797216699801191</v>
      </c>
      <c r="I34" s="9">
        <f t="shared" si="17"/>
        <v>0.40556660039761433</v>
      </c>
      <c r="J34" s="9">
        <f t="shared" si="18"/>
        <v>-6.7594433399602416E-2</v>
      </c>
      <c r="K34" s="5" cm="1">
        <f t="array" ref="K34">_xll.FDS(A34,"FMA_PCT_ABOVE_MAVG(200,0,,,,""PORTAGG"")")/100</f>
        <v>0.74251497005987999</v>
      </c>
      <c r="L34" s="41" cm="1">
        <f t="array" ref="L34">_xll.FDSB(A34,"PERCENT_CHANGE(FMA_EPS(+1,0,,,,""PORTAGG"",""MEAN""),FMA_EPS(+1,-1AM,,,,""PORTAGG"",""MEAN""))")</f>
        <v>-0.75433520311705604</v>
      </c>
      <c r="M34" s="41" cm="1">
        <f t="array" ref="M34">_xll.FDSB(A34,"PERCENT_CHANGE(FMA_EPS(+1,0,,,,""PORTAGG"",""MEAN""),FMA_EPS(+1,-3AM,,,,""PORTAGG"",""MEAN""))")</f>
        <v>0.33477226583730701</v>
      </c>
      <c r="O34" s="3" cm="1">
        <f t="array" ref="O34">_xll.FDS(C34,"FG_TOTAL_RETURNC(0,-3AM)")</f>
        <v>11.229407999999999</v>
      </c>
      <c r="P34" s="3" cm="1">
        <f t="array" ref="P34">_xll.FDS(C34,"FG_TOTAL_RETURNC(0,-6AM)")</f>
        <v>14.521599</v>
      </c>
      <c r="Q34" s="9" cm="1">
        <f t="array" ref="Q34">_xll.FDS(C34,"P_PRICE(0)/P_PRICE_HIGH_PR(0,,,,,,""PRICE"",""INTRA"",""52W"")")</f>
        <v>0.97138864000000003</v>
      </c>
      <c r="R34" s="9" cm="1">
        <f t="array" ref="R34">_xll.FDS(C34,"P_PRICE(0)/P_PRICE_low_PR(0,,,,,,""PRICE"",""INTRA"",""52W"")-1")</f>
        <v>0.34158504000000001</v>
      </c>
    </row>
    <row r="35" spans="1:18" x14ac:dyDescent="0.35">
      <c r="Q35" s="9"/>
      <c r="R35" s="9"/>
    </row>
    <row r="36" spans="1:18" x14ac:dyDescent="0.35">
      <c r="Q36" s="9"/>
      <c r="R36" s="9"/>
    </row>
    <row r="37" spans="1:18" x14ac:dyDescent="0.35">
      <c r="Q37" s="9"/>
      <c r="R37" s="9"/>
    </row>
    <row r="38" spans="1:18" ht="15" customHeight="1" x14ac:dyDescent="0.35">
      <c r="E38" s="43"/>
      <c r="F38" s="43"/>
      <c r="Q38" s="9"/>
      <c r="R38" s="9"/>
    </row>
    <row r="39" spans="1:18" ht="15" customHeight="1" x14ac:dyDescent="0.35">
      <c r="E39" s="43"/>
      <c r="F39" s="43"/>
      <c r="Q39" s="9"/>
      <c r="R39" s="9"/>
    </row>
    <row r="40" spans="1:18" ht="15" customHeight="1" x14ac:dyDescent="0.35">
      <c r="E40" s="43"/>
      <c r="F40" s="43"/>
      <c r="Q40" s="9"/>
      <c r="R40" s="9"/>
    </row>
    <row r="41" spans="1:18" ht="15" customHeight="1" x14ac:dyDescent="0.35">
      <c r="C41" s="1"/>
      <c r="D41" s="1"/>
      <c r="E41" s="43"/>
      <c r="F41" s="43"/>
      <c r="Q41" s="9"/>
      <c r="R41" s="9"/>
    </row>
    <row r="42" spans="1:18" ht="15" customHeight="1" x14ac:dyDescent="0.35">
      <c r="E42" s="43"/>
      <c r="F42" s="43"/>
      <c r="Q42" s="9"/>
      <c r="R42" s="9"/>
    </row>
    <row r="43" spans="1:18" ht="15" customHeight="1" x14ac:dyDescent="0.35">
      <c r="E43" s="43"/>
      <c r="F43" s="43"/>
      <c r="Q43" s="9"/>
      <c r="R43" s="9"/>
    </row>
    <row r="44" spans="1:18" ht="15" customHeight="1" x14ac:dyDescent="0.35">
      <c r="E44" s="43"/>
      <c r="F44" s="43"/>
      <c r="Q44" s="9"/>
      <c r="R44" s="9"/>
    </row>
    <row r="45" spans="1:18" ht="15" customHeight="1" x14ac:dyDescent="0.35">
      <c r="E45" s="43"/>
      <c r="F45" s="43"/>
      <c r="P45" s="1"/>
      <c r="Q45" s="9"/>
      <c r="R45" s="9"/>
    </row>
    <row r="46" spans="1:18" ht="15" customHeight="1" x14ac:dyDescent="0.35">
      <c r="E46" s="43"/>
      <c r="F46" s="43"/>
      <c r="Q46" s="9"/>
      <c r="R46" s="9"/>
    </row>
    <row r="47" spans="1:18" ht="15" customHeight="1" x14ac:dyDescent="0.35">
      <c r="E47" s="43"/>
      <c r="F47" s="43"/>
      <c r="Q47" s="9"/>
      <c r="R47" s="9"/>
    </row>
    <row r="48" spans="1:18" ht="15" customHeight="1" x14ac:dyDescent="0.35">
      <c r="C48" s="1"/>
      <c r="D48" s="1"/>
      <c r="E48" s="43"/>
      <c r="F48" s="43"/>
      <c r="Q48" s="9"/>
      <c r="R48" s="9"/>
    </row>
    <row r="49" spans="3:18" ht="15" customHeight="1" x14ac:dyDescent="0.35">
      <c r="E49" s="43"/>
      <c r="F49" s="43"/>
      <c r="Q49" s="9"/>
      <c r="R49" s="9"/>
    </row>
    <row r="50" spans="3:18" ht="15" customHeight="1" x14ac:dyDescent="0.35">
      <c r="E50" s="43"/>
      <c r="F50" s="43"/>
      <c r="Q50" s="9"/>
      <c r="R50" s="9"/>
    </row>
    <row r="51" spans="3:18" ht="15" customHeight="1" x14ac:dyDescent="0.35">
      <c r="E51" s="43"/>
      <c r="F51" s="43"/>
      <c r="Q51" s="9"/>
      <c r="R51" s="9"/>
    </row>
    <row r="52" spans="3:18" ht="15" customHeight="1" x14ac:dyDescent="0.35">
      <c r="E52" s="43"/>
      <c r="F52" s="43"/>
      <c r="Q52" s="9"/>
      <c r="R52" s="9"/>
    </row>
    <row r="53" spans="3:18" ht="15" customHeight="1" x14ac:dyDescent="0.35">
      <c r="C53" s="1"/>
      <c r="D53" s="1"/>
      <c r="E53" s="43"/>
      <c r="F53" s="43"/>
      <c r="Q53" s="9"/>
      <c r="R53" s="9"/>
    </row>
    <row r="54" spans="3:18" ht="15" customHeight="1" x14ac:dyDescent="0.35">
      <c r="E54" s="43"/>
      <c r="F54" s="43"/>
      <c r="Q54" s="9"/>
      <c r="R54" s="9"/>
    </row>
    <row r="55" spans="3:18" ht="15" customHeight="1" x14ac:dyDescent="0.35">
      <c r="E55" s="43"/>
      <c r="F55" s="43"/>
      <c r="Q55" s="9"/>
      <c r="R55" s="9"/>
    </row>
    <row r="56" spans="3:18" ht="15" customHeight="1" x14ac:dyDescent="0.35">
      <c r="E56" s="43"/>
      <c r="F56" s="43"/>
      <c r="Q56" s="9"/>
      <c r="R56" s="9"/>
    </row>
    <row r="57" spans="3:18" ht="15" customHeight="1" x14ac:dyDescent="0.35">
      <c r="E57" s="43"/>
      <c r="F57" s="43"/>
      <c r="Q57" s="9"/>
      <c r="R57" s="9"/>
    </row>
    <row r="58" spans="3:18" ht="15" customHeight="1" x14ac:dyDescent="0.35">
      <c r="C58" s="1"/>
      <c r="D58" s="1"/>
      <c r="E58" s="43"/>
      <c r="F58" s="43"/>
      <c r="Q58" s="9"/>
      <c r="R58" s="9"/>
    </row>
    <row r="59" spans="3:18" ht="15" customHeight="1" x14ac:dyDescent="0.35">
      <c r="C59" s="1"/>
      <c r="D59" s="1"/>
      <c r="E59" s="43"/>
      <c r="F59" s="43"/>
    </row>
    <row r="60" spans="3:18" ht="15" customHeight="1" x14ac:dyDescent="0.35">
      <c r="E60" s="43"/>
      <c r="F60" s="43"/>
    </row>
    <row r="61" spans="3:18" ht="15" customHeight="1" x14ac:dyDescent="0.35">
      <c r="E61" s="43"/>
      <c r="F61" s="43"/>
    </row>
    <row r="62" spans="3:18" ht="15" customHeight="1" x14ac:dyDescent="0.35">
      <c r="E62" s="44"/>
      <c r="F62" s="44"/>
      <c r="G62" s="1"/>
    </row>
    <row r="63" spans="3:18" ht="15" customHeight="1" x14ac:dyDescent="0.35">
      <c r="E63" s="43"/>
      <c r="F63" s="43"/>
    </row>
    <row r="64" spans="3:18" ht="15" customHeight="1" x14ac:dyDescent="0.35">
      <c r="E64" s="43"/>
      <c r="F64" s="43"/>
    </row>
    <row r="65" spans="5:7" ht="15" customHeight="1" x14ac:dyDescent="0.35">
      <c r="E65" s="43"/>
      <c r="F65" s="43"/>
    </row>
    <row r="66" spans="5:7" ht="15" customHeight="1" x14ac:dyDescent="0.35">
      <c r="E66" s="43"/>
      <c r="F66" s="43"/>
    </row>
    <row r="67" spans="5:7" ht="15" customHeight="1" x14ac:dyDescent="0.35">
      <c r="E67" s="43"/>
      <c r="F67" s="43"/>
    </row>
    <row r="68" spans="5:7" ht="15" customHeight="1" x14ac:dyDescent="0.35">
      <c r="E68" s="43"/>
      <c r="F68" s="43"/>
    </row>
    <row r="69" spans="5:7" ht="15" customHeight="1" x14ac:dyDescent="0.35">
      <c r="E69" s="43"/>
      <c r="F69" s="43"/>
    </row>
    <row r="70" spans="5:7" ht="15" customHeight="1" x14ac:dyDescent="0.35">
      <c r="E70" s="44"/>
      <c r="F70" s="44"/>
      <c r="G70" s="1"/>
    </row>
    <row r="71" spans="5:7" ht="15" customHeight="1" x14ac:dyDescent="0.35">
      <c r="E71" s="43"/>
      <c r="F71" s="43"/>
    </row>
    <row r="72" spans="5:7" ht="15" customHeight="1" x14ac:dyDescent="0.35">
      <c r="E72" s="43"/>
      <c r="F72" s="43"/>
    </row>
    <row r="73" spans="5:7" ht="15" customHeight="1" x14ac:dyDescent="0.35">
      <c r="E73" s="43"/>
      <c r="F73" s="43"/>
    </row>
    <row r="74" spans="5:7" ht="15" customHeight="1" x14ac:dyDescent="0.35">
      <c r="E74" s="43"/>
      <c r="F74" s="43"/>
    </row>
    <row r="75" spans="5:7" ht="15" customHeight="1" x14ac:dyDescent="0.35">
      <c r="E75" s="43"/>
      <c r="F75" s="43"/>
    </row>
    <row r="76" spans="5:7" ht="15" customHeight="1" x14ac:dyDescent="0.35">
      <c r="E76" s="43"/>
      <c r="F76" s="43"/>
    </row>
    <row r="77" spans="5:7" x14ac:dyDescent="0.35">
      <c r="F77" s="4"/>
    </row>
    <row r="78" spans="5:7" x14ac:dyDescent="0.35">
      <c r="F78" s="4"/>
    </row>
    <row r="79" spans="5:7" x14ac:dyDescent="0.35">
      <c r="F79" s="4"/>
    </row>
    <row r="80" spans="5:7" x14ac:dyDescent="0.35">
      <c r="F80" s="4"/>
    </row>
    <row r="81" spans="6:6" x14ac:dyDescent="0.35">
      <c r="F81" s="4"/>
    </row>
    <row r="82" spans="6:6" x14ac:dyDescent="0.35">
      <c r="F82" s="4"/>
    </row>
    <row r="83" spans="6:6" x14ac:dyDescent="0.35">
      <c r="F83" s="4"/>
    </row>
    <row r="84" spans="6:6" x14ac:dyDescent="0.35">
      <c r="F84" s="4"/>
    </row>
    <row r="85" spans="6:6" x14ac:dyDescent="0.35">
      <c r="F85" s="4"/>
    </row>
    <row r="86" spans="6:6" x14ac:dyDescent="0.35">
      <c r="F86" s="4"/>
    </row>
    <row r="87" spans="6:6" x14ac:dyDescent="0.35">
      <c r="F87" s="4"/>
    </row>
    <row r="88" spans="6:6" x14ac:dyDescent="0.35">
      <c r="F88" s="4"/>
    </row>
    <row r="89" spans="6:6" x14ac:dyDescent="0.35">
      <c r="F89" s="4"/>
    </row>
    <row r="90" spans="6:6" x14ac:dyDescent="0.35">
      <c r="F90" s="4"/>
    </row>
    <row r="91" spans="6:6" x14ac:dyDescent="0.35">
      <c r="F91" s="4"/>
    </row>
    <row r="92" spans="6:6" x14ac:dyDescent="0.35">
      <c r="F92" s="4"/>
    </row>
    <row r="93" spans="6:6" x14ac:dyDescent="0.35">
      <c r="F93" s="4"/>
    </row>
    <row r="94" spans="6:6" x14ac:dyDescent="0.35">
      <c r="F94" s="4"/>
    </row>
    <row r="95" spans="6:6" x14ac:dyDescent="0.35">
      <c r="F95" s="4"/>
    </row>
    <row r="96" spans="6:6" x14ac:dyDescent="0.35">
      <c r="F96" s="4"/>
    </row>
    <row r="97" spans="6:6" x14ac:dyDescent="0.35">
      <c r="F97" s="4"/>
    </row>
    <row r="98" spans="6:6" x14ac:dyDescent="0.35">
      <c r="F98" s="4"/>
    </row>
    <row r="99" spans="6:6" x14ac:dyDescent="0.35">
      <c r="F99" s="4"/>
    </row>
    <row r="100" spans="6:6" x14ac:dyDescent="0.35">
      <c r="F100" s="4"/>
    </row>
    <row r="101" spans="6:6" x14ac:dyDescent="0.35">
      <c r="F101" s="4"/>
    </row>
    <row r="102" spans="6:6" x14ac:dyDescent="0.35">
      <c r="F102" s="4"/>
    </row>
    <row r="103" spans="6:6" x14ac:dyDescent="0.35">
      <c r="F103" s="4"/>
    </row>
    <row r="104" spans="6:6" x14ac:dyDescent="0.35">
      <c r="F104" s="4"/>
    </row>
    <row r="105" spans="6:6" x14ac:dyDescent="0.35">
      <c r="F105" s="4"/>
    </row>
    <row r="106" spans="6:6" x14ac:dyDescent="0.35">
      <c r="F106" s="4"/>
    </row>
    <row r="107" spans="6:6" x14ac:dyDescent="0.35">
      <c r="F107" s="4"/>
    </row>
    <row r="108" spans="6:6" x14ac:dyDescent="0.35">
      <c r="F108" s="4"/>
    </row>
    <row r="109" spans="6:6" x14ac:dyDescent="0.35">
      <c r="F109" s="4"/>
    </row>
    <row r="110" spans="6:6" x14ac:dyDescent="0.35">
      <c r="F110" s="4"/>
    </row>
    <row r="111" spans="6:6" x14ac:dyDescent="0.35">
      <c r="F111" s="4"/>
    </row>
    <row r="112" spans="6:6" x14ac:dyDescent="0.35">
      <c r="F112" s="4"/>
    </row>
    <row r="113" spans="6:6" x14ac:dyDescent="0.35">
      <c r="F113" s="4"/>
    </row>
    <row r="114" spans="6:6" x14ac:dyDescent="0.35">
      <c r="F114" s="4"/>
    </row>
    <row r="115" spans="6:6" x14ac:dyDescent="0.35">
      <c r="F115" s="4"/>
    </row>
    <row r="116" spans="6:6" x14ac:dyDescent="0.35">
      <c r="F116" s="4"/>
    </row>
    <row r="117" spans="6:6" x14ac:dyDescent="0.35">
      <c r="F117" s="4"/>
    </row>
    <row r="118" spans="6:6" x14ac:dyDescent="0.35">
      <c r="F118" s="4"/>
    </row>
    <row r="119" spans="6:6" x14ac:dyDescent="0.35">
      <c r="F119" s="4"/>
    </row>
    <row r="120" spans="6:6" x14ac:dyDescent="0.35">
      <c r="F120" s="4"/>
    </row>
    <row r="121" spans="6:6" x14ac:dyDescent="0.35">
      <c r="F121" s="4"/>
    </row>
    <row r="122" spans="6:6" x14ac:dyDescent="0.35">
      <c r="F122" s="4"/>
    </row>
    <row r="123" spans="6:6" x14ac:dyDescent="0.35">
      <c r="F123" s="4"/>
    </row>
    <row r="124" spans="6:6" x14ac:dyDescent="0.35">
      <c r="F124" s="4"/>
    </row>
    <row r="125" spans="6:6" x14ac:dyDescent="0.35">
      <c r="F125" s="4"/>
    </row>
    <row r="126" spans="6:6" x14ac:dyDescent="0.35">
      <c r="F126" s="4"/>
    </row>
    <row r="127" spans="6:6" x14ac:dyDescent="0.35">
      <c r="F127" s="4"/>
    </row>
    <row r="128" spans="6:6" x14ac:dyDescent="0.35">
      <c r="F128" s="4"/>
    </row>
    <row r="129" spans="6:6" x14ac:dyDescent="0.35">
      <c r="F129" s="4"/>
    </row>
    <row r="130" spans="6:6" x14ac:dyDescent="0.35">
      <c r="F130" s="4"/>
    </row>
    <row r="131" spans="6:6" x14ac:dyDescent="0.35">
      <c r="F131" s="4"/>
    </row>
    <row r="132" spans="6:6" x14ac:dyDescent="0.35">
      <c r="F132" s="4"/>
    </row>
    <row r="133" spans="6:6" x14ac:dyDescent="0.35">
      <c r="F133" s="4"/>
    </row>
    <row r="134" spans="6:6" x14ac:dyDescent="0.35">
      <c r="F134" s="4"/>
    </row>
    <row r="135" spans="6:6" x14ac:dyDescent="0.35">
      <c r="F135" s="4"/>
    </row>
    <row r="136" spans="6:6" x14ac:dyDescent="0.35">
      <c r="F136" s="4"/>
    </row>
    <row r="137" spans="6:6" x14ac:dyDescent="0.35">
      <c r="F137" s="4"/>
    </row>
    <row r="138" spans="6:6" x14ac:dyDescent="0.35">
      <c r="F138" s="4"/>
    </row>
    <row r="139" spans="6:6" x14ac:dyDescent="0.35">
      <c r="F139" s="4"/>
    </row>
    <row r="140" spans="6:6" x14ac:dyDescent="0.35">
      <c r="F140" s="4"/>
    </row>
    <row r="141" spans="6:6" x14ac:dyDescent="0.35">
      <c r="F141" s="4"/>
    </row>
    <row r="142" spans="6:6" x14ac:dyDescent="0.35">
      <c r="F142" s="4"/>
    </row>
    <row r="143" spans="6:6" x14ac:dyDescent="0.35">
      <c r="F143" s="4"/>
    </row>
    <row r="144" spans="6:6" x14ac:dyDescent="0.35">
      <c r="F144" s="4"/>
    </row>
    <row r="145" spans="6:6" x14ac:dyDescent="0.35">
      <c r="F145" s="4"/>
    </row>
    <row r="146" spans="6:6" x14ac:dyDescent="0.35">
      <c r="F146" s="4"/>
    </row>
    <row r="147" spans="6:6" x14ac:dyDescent="0.35">
      <c r="F147" s="4"/>
    </row>
    <row r="148" spans="6:6" x14ac:dyDescent="0.35">
      <c r="F148" s="4"/>
    </row>
    <row r="149" spans="6:6" x14ac:dyDescent="0.35">
      <c r="F149" s="4"/>
    </row>
    <row r="150" spans="6:6" x14ac:dyDescent="0.35">
      <c r="F150" s="4"/>
    </row>
    <row r="151" spans="6:6" x14ac:dyDescent="0.35">
      <c r="F151" s="4"/>
    </row>
    <row r="152" spans="6:6" x14ac:dyDescent="0.35">
      <c r="F152" s="4"/>
    </row>
    <row r="153" spans="6:6" x14ac:dyDescent="0.35">
      <c r="F153" s="4"/>
    </row>
    <row r="154" spans="6:6" x14ac:dyDescent="0.35">
      <c r="F154" s="4"/>
    </row>
    <row r="155" spans="6:6" x14ac:dyDescent="0.35">
      <c r="F155" s="4"/>
    </row>
    <row r="156" spans="6:6" x14ac:dyDescent="0.35">
      <c r="F156" s="4"/>
    </row>
    <row r="157" spans="6:6" x14ac:dyDescent="0.35">
      <c r="F157" s="4"/>
    </row>
    <row r="158" spans="6:6" x14ac:dyDescent="0.35">
      <c r="F158" s="4"/>
    </row>
    <row r="159" spans="6:6" x14ac:dyDescent="0.35">
      <c r="F159" s="4"/>
    </row>
    <row r="160" spans="6:6" x14ac:dyDescent="0.35">
      <c r="F160" s="4"/>
    </row>
    <row r="161" spans="6:6" x14ac:dyDescent="0.35">
      <c r="F161" s="4"/>
    </row>
    <row r="162" spans="6:6" x14ac:dyDescent="0.35">
      <c r="F162" s="4"/>
    </row>
    <row r="163" spans="6:6" x14ac:dyDescent="0.35">
      <c r="F163" s="4"/>
    </row>
    <row r="164" spans="6:6" x14ac:dyDescent="0.35">
      <c r="F164" s="4"/>
    </row>
    <row r="165" spans="6:6" x14ac:dyDescent="0.35">
      <c r="F165" s="4"/>
    </row>
    <row r="166" spans="6:6" x14ac:dyDescent="0.35">
      <c r="F166" s="4"/>
    </row>
    <row r="167" spans="6:6" x14ac:dyDescent="0.35">
      <c r="F167" s="4"/>
    </row>
    <row r="168" spans="6:6" x14ac:dyDescent="0.35">
      <c r="F168" s="4"/>
    </row>
    <row r="169" spans="6:6" x14ac:dyDescent="0.35">
      <c r="F169" s="4"/>
    </row>
    <row r="170" spans="6:6" x14ac:dyDescent="0.35">
      <c r="F170" s="4"/>
    </row>
    <row r="171" spans="6:6" x14ac:dyDescent="0.35">
      <c r="F171" s="4"/>
    </row>
    <row r="172" spans="6:6" x14ac:dyDescent="0.35">
      <c r="F172" s="4"/>
    </row>
    <row r="173" spans="6:6" x14ac:dyDescent="0.35">
      <c r="F173" s="4"/>
    </row>
    <row r="174" spans="6:6" x14ac:dyDescent="0.35">
      <c r="F174" s="4"/>
    </row>
    <row r="175" spans="6:6" x14ac:dyDescent="0.35">
      <c r="F175" s="4"/>
    </row>
    <row r="176" spans="6:6" x14ac:dyDescent="0.35">
      <c r="F176" s="4"/>
    </row>
    <row r="177" spans="6:6" x14ac:dyDescent="0.35">
      <c r="F177" s="4"/>
    </row>
    <row r="178" spans="6:6" x14ac:dyDescent="0.35">
      <c r="F178" s="4"/>
    </row>
    <row r="179" spans="6:6" x14ac:dyDescent="0.35">
      <c r="F179" s="4"/>
    </row>
    <row r="180" spans="6:6" x14ac:dyDescent="0.35">
      <c r="F180" s="4"/>
    </row>
    <row r="181" spans="6:6" x14ac:dyDescent="0.35">
      <c r="F181" s="4"/>
    </row>
    <row r="182" spans="6:6" x14ac:dyDescent="0.35">
      <c r="F182" s="4"/>
    </row>
    <row r="183" spans="6:6" x14ac:dyDescent="0.35">
      <c r="F183" s="4"/>
    </row>
    <row r="184" spans="6:6" x14ac:dyDescent="0.35">
      <c r="F184" s="4"/>
    </row>
    <row r="185" spans="6:6" x14ac:dyDescent="0.35">
      <c r="F185" s="4"/>
    </row>
    <row r="186" spans="6:6" x14ac:dyDescent="0.35">
      <c r="F186" s="4"/>
    </row>
    <row r="187" spans="6:6" x14ac:dyDescent="0.35">
      <c r="F187" s="4"/>
    </row>
    <row r="188" spans="6:6" x14ac:dyDescent="0.35">
      <c r="F188" s="4"/>
    </row>
    <row r="189" spans="6:6" x14ac:dyDescent="0.35">
      <c r="F189" s="4"/>
    </row>
    <row r="190" spans="6:6" x14ac:dyDescent="0.35">
      <c r="F190" s="4"/>
    </row>
    <row r="191" spans="6:6" x14ac:dyDescent="0.35">
      <c r="F191" s="4"/>
    </row>
    <row r="192" spans="6:6" x14ac:dyDescent="0.35">
      <c r="F192" s="4"/>
    </row>
    <row r="193" spans="6:6" x14ac:dyDescent="0.35">
      <c r="F193" s="4"/>
    </row>
    <row r="194" spans="6:6" x14ac:dyDescent="0.35">
      <c r="F194" s="4"/>
    </row>
    <row r="195" spans="6:6" x14ac:dyDescent="0.35">
      <c r="F195" s="4"/>
    </row>
    <row r="196" spans="6:6" x14ac:dyDescent="0.35">
      <c r="F196" s="4"/>
    </row>
    <row r="197" spans="6:6" x14ac:dyDescent="0.35">
      <c r="F197" s="4"/>
    </row>
    <row r="198" spans="6:6" x14ac:dyDescent="0.35">
      <c r="F198" s="4"/>
    </row>
    <row r="199" spans="6:6" x14ac:dyDescent="0.35">
      <c r="F199" s="4"/>
    </row>
    <row r="200" spans="6:6" x14ac:dyDescent="0.35">
      <c r="F200" s="4"/>
    </row>
    <row r="201" spans="6:6" x14ac:dyDescent="0.35">
      <c r="F201" s="4"/>
    </row>
    <row r="202" spans="6:6" x14ac:dyDescent="0.35">
      <c r="F202" s="4"/>
    </row>
    <row r="203" spans="6:6" x14ac:dyDescent="0.35">
      <c r="F203" s="4"/>
    </row>
    <row r="204" spans="6:6" x14ac:dyDescent="0.35">
      <c r="F204" s="4"/>
    </row>
    <row r="205" spans="6:6" x14ac:dyDescent="0.35">
      <c r="F205" s="4"/>
    </row>
    <row r="206" spans="6:6" x14ac:dyDescent="0.35">
      <c r="F206" s="4"/>
    </row>
    <row r="207" spans="6:6" x14ac:dyDescent="0.35">
      <c r="F207" s="4"/>
    </row>
    <row r="208" spans="6:6" x14ac:dyDescent="0.35">
      <c r="F208" s="4"/>
    </row>
    <row r="209" spans="6:6" x14ac:dyDescent="0.35">
      <c r="F209" s="4"/>
    </row>
    <row r="210" spans="6:6" x14ac:dyDescent="0.35">
      <c r="F210" s="4"/>
    </row>
    <row r="211" spans="6:6" x14ac:dyDescent="0.35">
      <c r="F211" s="4"/>
    </row>
    <row r="212" spans="6:6" x14ac:dyDescent="0.35">
      <c r="F212" s="4"/>
    </row>
    <row r="213" spans="6:6" x14ac:dyDescent="0.35">
      <c r="F213" s="4"/>
    </row>
    <row r="214" spans="6:6" x14ac:dyDescent="0.35">
      <c r="F214" s="4"/>
    </row>
    <row r="215" spans="6:6" x14ac:dyDescent="0.35">
      <c r="F215" s="4"/>
    </row>
    <row r="216" spans="6:6" x14ac:dyDescent="0.35">
      <c r="F216" s="4"/>
    </row>
    <row r="217" spans="6:6" x14ac:dyDescent="0.35">
      <c r="F217" s="4"/>
    </row>
    <row r="218" spans="6:6" x14ac:dyDescent="0.35">
      <c r="F218" s="4"/>
    </row>
    <row r="219" spans="6:6" x14ac:dyDescent="0.35">
      <c r="F219" s="4"/>
    </row>
    <row r="220" spans="6:6" x14ac:dyDescent="0.35">
      <c r="F220" s="4"/>
    </row>
    <row r="221" spans="6:6" x14ac:dyDescent="0.35">
      <c r="F221" s="4"/>
    </row>
    <row r="222" spans="6:6" x14ac:dyDescent="0.35">
      <c r="F222" s="4"/>
    </row>
    <row r="223" spans="6:6" x14ac:dyDescent="0.35">
      <c r="F223" s="4"/>
    </row>
    <row r="224" spans="6:6" x14ac:dyDescent="0.35">
      <c r="F224" s="4"/>
    </row>
    <row r="225" spans="6:6" x14ac:dyDescent="0.35">
      <c r="F225" s="4"/>
    </row>
    <row r="226" spans="6:6" x14ac:dyDescent="0.35">
      <c r="F226" s="4"/>
    </row>
    <row r="227" spans="6:6" x14ac:dyDescent="0.35">
      <c r="F227" s="4"/>
    </row>
    <row r="228" spans="6:6" x14ac:dyDescent="0.35">
      <c r="F228" s="4"/>
    </row>
    <row r="229" spans="6:6" x14ac:dyDescent="0.35">
      <c r="F229" s="4"/>
    </row>
    <row r="230" spans="6:6" x14ac:dyDescent="0.35">
      <c r="F230" s="4"/>
    </row>
    <row r="231" spans="6:6" x14ac:dyDescent="0.35">
      <c r="F231" s="4"/>
    </row>
    <row r="232" spans="6:6" x14ac:dyDescent="0.35">
      <c r="F232" s="4"/>
    </row>
    <row r="233" spans="6:6" x14ac:dyDescent="0.35">
      <c r="F233" s="4"/>
    </row>
    <row r="234" spans="6:6" x14ac:dyDescent="0.35">
      <c r="F234" s="4"/>
    </row>
    <row r="235" spans="6:6" x14ac:dyDescent="0.35">
      <c r="F235" s="4"/>
    </row>
    <row r="236" spans="6:6" x14ac:dyDescent="0.35">
      <c r="F236" s="4"/>
    </row>
    <row r="237" spans="6:6" x14ac:dyDescent="0.35">
      <c r="F237" s="4"/>
    </row>
    <row r="238" spans="6:6" x14ac:dyDescent="0.35">
      <c r="F238" s="4"/>
    </row>
    <row r="239" spans="6:6" x14ac:dyDescent="0.35">
      <c r="F239" s="4"/>
    </row>
    <row r="240" spans="6:6" x14ac:dyDescent="0.35">
      <c r="F240" s="4"/>
    </row>
    <row r="241" spans="6:6" x14ac:dyDescent="0.35">
      <c r="F241" s="4"/>
    </row>
    <row r="242" spans="6:6" x14ac:dyDescent="0.35">
      <c r="F242" s="4"/>
    </row>
    <row r="243" spans="6:6" x14ac:dyDescent="0.35">
      <c r="F243" s="4"/>
    </row>
    <row r="244" spans="6:6" x14ac:dyDescent="0.35">
      <c r="F244" s="4"/>
    </row>
    <row r="245" spans="6:6" x14ac:dyDescent="0.35">
      <c r="F245" s="4"/>
    </row>
    <row r="246" spans="6:6" x14ac:dyDescent="0.35">
      <c r="F246" s="4"/>
    </row>
    <row r="247" spans="6:6" x14ac:dyDescent="0.35">
      <c r="F247" s="4"/>
    </row>
    <row r="248" spans="6:6" x14ac:dyDescent="0.35">
      <c r="F248" s="4"/>
    </row>
    <row r="249" spans="6:6" x14ac:dyDescent="0.35">
      <c r="F249" s="4"/>
    </row>
    <row r="250" spans="6:6" x14ac:dyDescent="0.35">
      <c r="F250" s="4"/>
    </row>
    <row r="251" spans="6:6" x14ac:dyDescent="0.35">
      <c r="F251" s="4"/>
    </row>
    <row r="252" spans="6:6" x14ac:dyDescent="0.35">
      <c r="F252" s="4"/>
    </row>
    <row r="253" spans="6:6" x14ac:dyDescent="0.35">
      <c r="F253" s="4"/>
    </row>
    <row r="254" spans="6:6" x14ac:dyDescent="0.35">
      <c r="F254" s="4"/>
    </row>
    <row r="255" spans="6:6" x14ac:dyDescent="0.35">
      <c r="F255" s="4"/>
    </row>
    <row r="256" spans="6:6" x14ac:dyDescent="0.35">
      <c r="F256" s="4"/>
    </row>
    <row r="257" spans="6:6" x14ac:dyDescent="0.35">
      <c r="F257" s="4"/>
    </row>
    <row r="258" spans="6:6" x14ac:dyDescent="0.35">
      <c r="F258" s="4"/>
    </row>
    <row r="259" spans="6:6" x14ac:dyDescent="0.35">
      <c r="F259" s="4"/>
    </row>
    <row r="260" spans="6:6" x14ac:dyDescent="0.35">
      <c r="F260" s="4"/>
    </row>
    <row r="261" spans="6:6" x14ac:dyDescent="0.35">
      <c r="F261" s="4"/>
    </row>
    <row r="262" spans="6:6" x14ac:dyDescent="0.35">
      <c r="F262" s="4"/>
    </row>
    <row r="263" spans="6:6" x14ac:dyDescent="0.35">
      <c r="F263" s="4"/>
    </row>
    <row r="264" spans="6:6" x14ac:dyDescent="0.35">
      <c r="F264" s="4"/>
    </row>
    <row r="265" spans="6:6" x14ac:dyDescent="0.35">
      <c r="F265" s="4"/>
    </row>
    <row r="266" spans="6:6" x14ac:dyDescent="0.35">
      <c r="F266" s="4"/>
    </row>
    <row r="267" spans="6:6" x14ac:dyDescent="0.35">
      <c r="F267" s="4"/>
    </row>
    <row r="268" spans="6:6" x14ac:dyDescent="0.35">
      <c r="F268" s="4"/>
    </row>
    <row r="269" spans="6:6" x14ac:dyDescent="0.35">
      <c r="F269" s="4"/>
    </row>
  </sheetData>
  <sortState xmlns:xlrd2="http://schemas.microsoft.com/office/spreadsheetml/2017/richdata2" ref="E42:F80">
    <sortCondition descending="1" ref="F42:F80"/>
  </sortState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R32"/>
  <sheetViews>
    <sheetView topLeftCell="D1" workbookViewId="0">
      <selection activeCell="I4" sqref="I4"/>
    </sheetView>
  </sheetViews>
  <sheetFormatPr defaultRowHeight="14.5" x14ac:dyDescent="0.35"/>
  <cols>
    <col min="3" max="3" width="45.54296875" bestFit="1" customWidth="1"/>
    <col min="4" max="4" width="14.54296875" customWidth="1"/>
    <col min="5" max="5" width="10.81640625" customWidth="1"/>
    <col min="6" max="7" width="8.453125" customWidth="1"/>
    <col min="8" max="8" width="24.1796875" customWidth="1"/>
    <col min="9" max="9" width="20.453125" customWidth="1"/>
    <col min="10" max="10" width="24.453125" bestFit="1" customWidth="1"/>
    <col min="11" max="11" width="13.453125" customWidth="1"/>
    <col min="12" max="12" width="14.453125" customWidth="1"/>
    <col min="13" max="13" width="15.54296875" customWidth="1"/>
    <col min="14" max="14" width="12.453125" customWidth="1"/>
    <col min="16" max="16" width="9.54296875" customWidth="1"/>
  </cols>
  <sheetData>
    <row r="1" spans="2:18" ht="58" x14ac:dyDescent="0.35">
      <c r="L1" t="s">
        <v>534</v>
      </c>
      <c r="M1" t="s">
        <v>533</v>
      </c>
      <c r="N1" s="51" t="s">
        <v>407</v>
      </c>
      <c r="P1" s="51" t="s">
        <v>406</v>
      </c>
    </row>
    <row r="2" spans="2:18" x14ac:dyDescent="0.35">
      <c r="L2" s="6">
        <f>Assumption!E53</f>
        <v>0.25</v>
      </c>
      <c r="M2" s="6">
        <f>Assumption!F53</f>
        <v>0.25</v>
      </c>
      <c r="N2" s="6">
        <f>Assumption!G53</f>
        <v>0.5</v>
      </c>
    </row>
    <row r="3" spans="2:18" x14ac:dyDescent="0.35">
      <c r="D3" t="s">
        <v>404</v>
      </c>
      <c r="E3" s="46" t="s">
        <v>89</v>
      </c>
      <c r="H3" t="s">
        <v>405</v>
      </c>
      <c r="I3" t="s">
        <v>94</v>
      </c>
      <c r="J3" s="1"/>
      <c r="P3" t="s">
        <v>917</v>
      </c>
      <c r="R3" t="s">
        <v>918</v>
      </c>
    </row>
    <row r="4" spans="2:18" x14ac:dyDescent="0.35">
      <c r="B4" t="s">
        <v>432</v>
      </c>
      <c r="C4" t="s">
        <v>435</v>
      </c>
      <c r="D4" s="9">
        <f>HLOOKUP(B4,'Monthly Returns'!$A$1:$AC$134, 127, FALSE)</f>
        <v>-0.14308953000000002</v>
      </c>
      <c r="E4" s="9">
        <f>HLOOKUP(B4,'Monthly Returns'!$A$1:$AC$134, 132, FALSE)</f>
        <v>0.13402061855670103</v>
      </c>
      <c r="H4" s="9">
        <f>HLOOKUP(B4,'Yearly returns'!$B$1:$V$140, 133, FALSE)</f>
        <v>0.36046511627906974</v>
      </c>
      <c r="I4" s="9">
        <f>HLOOKUP(B4,'Yearly returns'!$B$1:$V$140, 138, FALSE)</f>
        <v>0.39</v>
      </c>
      <c r="L4" s="47">
        <f t="shared" ref="L4:L24" si="0">(1-PERCENTRANK($E$4:$E$24,E4))*100</f>
        <v>90</v>
      </c>
      <c r="M4" s="47">
        <f t="shared" ref="M4:M24" si="1">(1-PERCENTRANK($H$4:$H$24,H4))*100</f>
        <v>19.999999999999996</v>
      </c>
      <c r="N4" s="47">
        <f t="shared" ref="N4:N24" si="2">(1-PERCENTRANK($I$4:$I$24,I4))*100</f>
        <v>70</v>
      </c>
      <c r="P4">
        <f>L4*Assumption!$E$53 + M4*Assumption!$F$53 + N4*Assumption!$G$53</f>
        <v>62.5</v>
      </c>
      <c r="R4" cm="1">
        <f t="array" ref="R4">_xlfn.PERCENTRANK.EXC(_xlfn._xlws.FILTER(P$4:P$24, ISNUMBER(P$4:P$24)),P4)*100</f>
        <v>81.8</v>
      </c>
    </row>
    <row r="5" spans="2:18" x14ac:dyDescent="0.35">
      <c r="B5" t="s">
        <v>27</v>
      </c>
      <c r="C5" t="s">
        <v>436</v>
      </c>
      <c r="D5" s="9">
        <f>HLOOKUP(B5,'Monthly Returns'!$A$1:$AC$134, 127, FALSE)</f>
        <v>-0.36285525999999996</v>
      </c>
      <c r="E5" s="9">
        <f>HLOOKUP(B5,'Monthly Returns'!$A$1:$AC$134, 132, FALSE)</f>
        <v>0.20661157024793389</v>
      </c>
      <c r="H5" s="9">
        <f>HLOOKUP(B5,'Yearly returns'!$B$1:$V$140, 133, FALSE)</f>
        <v>0.39669421487603307</v>
      </c>
      <c r="I5" s="9">
        <f>HLOOKUP(B5,'Yearly returns'!$B$1:$V$140, 138, FALSE)</f>
        <v>0.254</v>
      </c>
      <c r="L5" s="47">
        <f t="shared" si="0"/>
        <v>35</v>
      </c>
      <c r="M5" s="47">
        <f t="shared" si="1"/>
        <v>9.9999999999999982</v>
      </c>
      <c r="N5" s="47">
        <f t="shared" si="2"/>
        <v>90</v>
      </c>
      <c r="P5">
        <f>L5*Assumption!$E$53 + M5*Assumption!$F$53 + N5*Assumption!$G$53</f>
        <v>56.25</v>
      </c>
      <c r="R5" cm="1">
        <f t="array" ref="R5">_xlfn.PERCENTRANK.EXC(_xlfn._xlws.FILTER(P$4:P$24, ISNUMBER(P$4:P$24)),P5)*100</f>
        <v>63.6</v>
      </c>
    </row>
    <row r="6" spans="2:18" x14ac:dyDescent="0.35">
      <c r="B6" t="s">
        <v>35</v>
      </c>
      <c r="C6" t="s">
        <v>437</v>
      </c>
      <c r="D6" s="9">
        <f>HLOOKUP(B6,'Monthly Returns'!$A$1:$AC$134, 127, FALSE)</f>
        <v>-0.4546945</v>
      </c>
      <c r="E6" s="9">
        <f>HLOOKUP(B6,'Monthly Returns'!$A$1:$AC$134, 132, FALSE)</f>
        <v>0.15702479338842976</v>
      </c>
      <c r="H6" s="9">
        <f>HLOOKUP(B6,'Yearly returns'!$B$1:$V$140, 133, FALSE)</f>
        <v>0.2231404958677686</v>
      </c>
      <c r="I6" s="9">
        <f>HLOOKUP(B6,'Yearly returns'!$B$1:$V$140, 138, FALSE)</f>
        <v>0.21299999999999999</v>
      </c>
      <c r="L6" s="47">
        <f t="shared" si="0"/>
        <v>70</v>
      </c>
      <c r="M6" s="47">
        <f t="shared" si="1"/>
        <v>80</v>
      </c>
      <c r="N6" s="47">
        <f t="shared" si="2"/>
        <v>95</v>
      </c>
      <c r="P6">
        <f>L6*Assumption!$E$53 + M6*Assumption!$F$53 + N6*Assumption!$G$53</f>
        <v>85</v>
      </c>
      <c r="R6" cm="1">
        <f t="array" ref="R6">_xlfn.PERCENTRANK.EXC(_xlfn._xlws.FILTER(P$4:P$24, ISNUMBER(P$4:P$24)),P6)*100</f>
        <v>86.3</v>
      </c>
    </row>
    <row r="7" spans="2:18" x14ac:dyDescent="0.35">
      <c r="B7" t="s">
        <v>30</v>
      </c>
      <c r="C7" t="s">
        <v>438</v>
      </c>
      <c r="D7" s="9">
        <f>HLOOKUP(B7,'Monthly Returns'!$A$1:$AC$134, 127, FALSE)</f>
        <v>-0.38928467</v>
      </c>
      <c r="E7" s="9">
        <f>HLOOKUP(B7,'Monthly Returns'!$A$1:$AC$134, 132, FALSE)</f>
        <v>0.17355371900826447</v>
      </c>
      <c r="H7" s="9">
        <f>HLOOKUP(B7,'Yearly returns'!$B$1:$V$140, 133, FALSE)</f>
        <v>0.24793388429752067</v>
      </c>
      <c r="I7" s="9">
        <f>HLOOKUP(B7,'Yearly returns'!$B$1:$V$140, 138, FALSE)</f>
        <v>0.45900000000000002</v>
      </c>
      <c r="L7" s="47">
        <f t="shared" si="0"/>
        <v>60</v>
      </c>
      <c r="M7" s="47">
        <f t="shared" si="1"/>
        <v>70</v>
      </c>
      <c r="N7" s="47">
        <f t="shared" si="2"/>
        <v>55.000000000000007</v>
      </c>
      <c r="P7">
        <f>L7*Assumption!$E$53 + M7*Assumption!$F$53 + N7*Assumption!$G$53</f>
        <v>60</v>
      </c>
      <c r="R7" cm="1">
        <f t="array" ref="R7">_xlfn.PERCENTRANK.EXC(_xlfn._xlws.FILTER(P$4:P$24, ISNUMBER(P$4:P$24)),P7)*100</f>
        <v>77.2</v>
      </c>
    </row>
    <row r="8" spans="2:18" x14ac:dyDescent="0.35">
      <c r="B8" t="s">
        <v>23</v>
      </c>
      <c r="C8" t="s">
        <v>439</v>
      </c>
      <c r="D8" s="9">
        <f>HLOOKUP(B8,'Monthly Returns'!$A$1:$AC$134, 127, FALSE)</f>
        <v>-0.35001254999999998</v>
      </c>
      <c r="E8" s="9">
        <f>HLOOKUP(B8,'Monthly Returns'!$A$1:$AC$134, 132, FALSE)</f>
        <v>0.26446280991735538</v>
      </c>
      <c r="H8" s="9">
        <f>HLOOKUP(B8,'Yearly returns'!$B$1:$V$140, 133, FALSE)</f>
        <v>0.42148760330578511</v>
      </c>
      <c r="I8" s="9">
        <f>HLOOKUP(B8,'Yearly returns'!$B$1:$V$140, 138, FALSE)</f>
        <v>0.73699999999999999</v>
      </c>
      <c r="L8" s="47">
        <f t="shared" si="0"/>
        <v>9.9999999999999982</v>
      </c>
      <c r="M8" s="47">
        <f t="shared" si="1"/>
        <v>5.0000000000000044</v>
      </c>
      <c r="N8" s="47">
        <f t="shared" si="2"/>
        <v>19.999999999999996</v>
      </c>
      <c r="P8">
        <f>L8*Assumption!$E$53 + M8*Assumption!$F$53 + N8*Assumption!$G$53</f>
        <v>13.75</v>
      </c>
      <c r="R8" cm="1">
        <f t="array" ref="R8">_xlfn.PERCENTRANK.EXC(_xlfn._xlws.FILTER(P$4:P$24, ISNUMBER(P$4:P$24)),P8)*100</f>
        <v>9</v>
      </c>
    </row>
    <row r="9" spans="2:18" s="1" customFormat="1" x14ac:dyDescent="0.35">
      <c r="B9" s="1" t="s">
        <v>29</v>
      </c>
      <c r="C9" t="s">
        <v>440</v>
      </c>
      <c r="D9" s="9">
        <f>HLOOKUP(B9,'Monthly Returns'!$A$1:$AC$134, 127, FALSE)</f>
        <v>-0.35885586000000003</v>
      </c>
      <c r="E9" s="9">
        <f>HLOOKUP(B9,'Monthly Returns'!$A$1:$AC$134, 132, FALSE)</f>
        <v>0.19008264462809918</v>
      </c>
      <c r="H9" s="9">
        <f>HLOOKUP(B9,'Yearly returns'!$B$1:$V$140, 133, FALSE)</f>
        <v>0.2231404958677686</v>
      </c>
      <c r="I9" s="9">
        <f>HLOOKUP(B9,'Yearly returns'!$B$1:$V$140, 138, FALSE)</f>
        <v>0.85199999999999998</v>
      </c>
      <c r="L9" s="47">
        <f t="shared" si="0"/>
        <v>44.999999999999993</v>
      </c>
      <c r="M9" s="49">
        <f t="shared" si="1"/>
        <v>80</v>
      </c>
      <c r="N9" s="47">
        <f t="shared" si="2"/>
        <v>9.9999999999999982</v>
      </c>
      <c r="P9">
        <f>L9*Assumption!$E$53 + M9*Assumption!$F$53 + N9*Assumption!$G$53</f>
        <v>36.25</v>
      </c>
      <c r="R9" cm="1">
        <f t="array" ref="R9">_xlfn.PERCENTRANK.EXC(_xlfn._xlws.FILTER(P$4:P$24, ISNUMBER(P$4:P$24)),P9)*100</f>
        <v>22.7</v>
      </c>
    </row>
    <row r="10" spans="2:18" x14ac:dyDescent="0.35">
      <c r="B10" t="s">
        <v>33</v>
      </c>
      <c r="C10" t="s">
        <v>441</v>
      </c>
      <c r="D10" s="9">
        <f>HLOOKUP(B10,'Monthly Returns'!$A$1:$AC$134, 127, FALSE)</f>
        <v>-0.28218561000000003</v>
      </c>
      <c r="E10" s="9">
        <f>HLOOKUP(B10,'Monthly Returns'!$A$1:$AC$134, 132, FALSE)</f>
        <v>0.1487603305785124</v>
      </c>
      <c r="H10" s="9">
        <f>HLOOKUP(B10,'Yearly returns'!$B$1:$V$140, 133, FALSE)</f>
        <v>0.256198347107438</v>
      </c>
      <c r="I10" s="9">
        <f>HLOOKUP(B10,'Yearly returns'!$B$1:$V$140, 138, FALSE)</f>
        <v>0.90900000000000003</v>
      </c>
      <c r="L10" s="47">
        <f t="shared" si="0"/>
        <v>80</v>
      </c>
      <c r="M10" s="47">
        <f t="shared" si="1"/>
        <v>65</v>
      </c>
      <c r="N10" s="47">
        <f t="shared" si="2"/>
        <v>0</v>
      </c>
      <c r="P10">
        <f>L10*Assumption!$E$53 + M10*Assumption!$F$53 + N10*Assumption!$G$53</f>
        <v>36.25</v>
      </c>
      <c r="R10" cm="1">
        <f t="array" ref="R10">_xlfn.PERCENTRANK.EXC(_xlfn._xlws.FILTER(P$4:P$24, ISNUMBER(P$4:P$24)),P10)*100</f>
        <v>22.7</v>
      </c>
    </row>
    <row r="11" spans="2:18" x14ac:dyDescent="0.35">
      <c r="B11" t="s">
        <v>24</v>
      </c>
      <c r="C11" t="s">
        <v>40</v>
      </c>
      <c r="D11" s="9">
        <f>HLOOKUP(B11,'Monthly Returns'!$A$1:$AC$134, 127, FALSE)</f>
        <v>-0.26757765</v>
      </c>
      <c r="E11" s="9">
        <f>HLOOKUP(B11,'Monthly Returns'!$A$1:$AC$134, 132, FALSE)</f>
        <v>0.14049586776859505</v>
      </c>
      <c r="H11" s="9">
        <f>HLOOKUP(B11,'Yearly returns'!$B$1:$V$140, 133, FALSE)</f>
        <v>0.18181818181818182</v>
      </c>
      <c r="I11" s="9">
        <f>HLOOKUP(B11,'Yearly returns'!$B$1:$V$140, 138, FALSE)</f>
        <v>0.72899999999999998</v>
      </c>
      <c r="L11" s="47">
        <f t="shared" si="0"/>
        <v>85</v>
      </c>
      <c r="M11" s="47">
        <f t="shared" si="1"/>
        <v>90</v>
      </c>
      <c r="N11" s="47">
        <f t="shared" si="2"/>
        <v>25</v>
      </c>
      <c r="P11">
        <f>L11*Assumption!$E$53 + M11*Assumption!$F$53 + N11*Assumption!$G$53</f>
        <v>56.25</v>
      </c>
      <c r="R11" cm="1">
        <f t="array" ref="R11">_xlfn.PERCENTRANK.EXC(_xlfn._xlws.FILTER(P$4:P$24, ISNUMBER(P$4:P$24)),P11)*100</f>
        <v>63.6</v>
      </c>
    </row>
    <row r="12" spans="2:18" x14ac:dyDescent="0.35">
      <c r="B12" t="s">
        <v>7</v>
      </c>
      <c r="C12" t="s">
        <v>53</v>
      </c>
      <c r="D12" s="9">
        <f>HLOOKUP(B12,'Monthly Returns'!$A$1:$AC$134, 127, FALSE)</f>
        <v>-0.39865433000000006</v>
      </c>
      <c r="E12" s="9">
        <f>HLOOKUP(B12,'Monthly Returns'!$A$1:$AC$134, 132, FALSE)</f>
        <v>0.18181818181818182</v>
      </c>
      <c r="H12" s="9">
        <f>HLOOKUP(B12,'Yearly returns'!$B$1:$V$140, 133, FALSE)</f>
        <v>0.28099173553719009</v>
      </c>
      <c r="I12" s="9">
        <f>HLOOKUP(B12,'Yearly returns'!$B$1:$V$140, 138, FALSE)</f>
        <v>0.40100000000000002</v>
      </c>
      <c r="L12" s="47">
        <f t="shared" si="0"/>
        <v>50</v>
      </c>
      <c r="M12" s="47">
        <f t="shared" si="1"/>
        <v>50</v>
      </c>
      <c r="N12" s="47">
        <f t="shared" si="2"/>
        <v>65</v>
      </c>
      <c r="P12">
        <f>L12*Assumption!$E$53 + M12*Assumption!$F$53 + N12*Assumption!$G$53</f>
        <v>57.5</v>
      </c>
      <c r="R12" cm="1">
        <f t="array" ref="R12">_xlfn.PERCENTRANK.EXC(_xlfn._xlws.FILTER(P$4:P$24, ISNUMBER(P$4:P$24)),P12)*100</f>
        <v>72.7</v>
      </c>
    </row>
    <row r="13" spans="2:18" x14ac:dyDescent="0.35">
      <c r="B13" t="s">
        <v>21</v>
      </c>
      <c r="C13" t="s">
        <v>38</v>
      </c>
      <c r="D13" s="9">
        <f>HLOOKUP(B13,'Monthly Returns'!$A$1:$AC$134, 127, FALSE)</f>
        <v>-0.36138854999999998</v>
      </c>
      <c r="E13" s="9">
        <f>HLOOKUP(B13,'Monthly Returns'!$A$1:$AC$134, 132, FALSE)</f>
        <v>0.17355371900826447</v>
      </c>
      <c r="H13" s="9">
        <f>HLOOKUP(B13,'Yearly returns'!$B$1:$V$140, 133, FALSE)</f>
        <v>0.31404958677685951</v>
      </c>
      <c r="I13" s="9">
        <f>HLOOKUP(B13,'Yearly returns'!$B$1:$V$140, 138, FALSE)</f>
        <v>0.50800000000000001</v>
      </c>
      <c r="L13" s="47">
        <f t="shared" si="0"/>
        <v>60</v>
      </c>
      <c r="M13" s="47">
        <f t="shared" si="1"/>
        <v>40</v>
      </c>
      <c r="N13" s="47">
        <f t="shared" si="2"/>
        <v>44.999999999999993</v>
      </c>
      <c r="P13">
        <f>L13*Assumption!$E$53 + M13*Assumption!$F$53 + N13*Assumption!$G$53</f>
        <v>47.5</v>
      </c>
      <c r="R13" cm="1">
        <f t="array" ref="R13">_xlfn.PERCENTRANK.EXC(_xlfn._xlws.FILTER(P$4:P$24, ISNUMBER(P$4:P$24)),P13)*100</f>
        <v>31.8</v>
      </c>
    </row>
    <row r="14" spans="2:18" x14ac:dyDescent="0.35">
      <c r="B14" t="s">
        <v>12</v>
      </c>
      <c r="C14" t="s">
        <v>54</v>
      </c>
      <c r="D14" s="9">
        <f>HLOOKUP(B14,'Monthly Returns'!$A$1:$AC$134, 127, FALSE)</f>
        <v>-0.49442039999999998</v>
      </c>
      <c r="E14" s="9">
        <f>HLOOKUP(B14,'Monthly Returns'!$A$1:$AC$134, 132, FALSE)</f>
        <v>0.28099173553719009</v>
      </c>
      <c r="H14" s="9">
        <f>HLOOKUP(B14,'Yearly returns'!$B$1:$V$140, 133, FALSE)</f>
        <v>0.33057851239669422</v>
      </c>
      <c r="I14" s="9">
        <f>HLOOKUP(B14,'Yearly returns'!$B$1:$V$140, 138, FALSE)</f>
        <v>0.36</v>
      </c>
      <c r="L14" s="47">
        <f t="shared" si="0"/>
        <v>5.0000000000000044</v>
      </c>
      <c r="M14" s="47">
        <f t="shared" si="1"/>
        <v>30.000000000000004</v>
      </c>
      <c r="N14" s="47">
        <f t="shared" si="2"/>
        <v>80</v>
      </c>
      <c r="P14">
        <f>L14*Assumption!$E$53 + M14*Assumption!$F$53 + N14*Assumption!$G$53</f>
        <v>48.75</v>
      </c>
      <c r="R14" cm="1">
        <f t="array" ref="R14">_xlfn.PERCENTRANK.EXC(_xlfn._xlws.FILTER(P$4:P$24, ISNUMBER(P$4:P$24)),P14)*100</f>
        <v>40.9</v>
      </c>
    </row>
    <row r="15" spans="2:18" x14ac:dyDescent="0.35">
      <c r="B15" t="s">
        <v>22</v>
      </c>
      <c r="C15" t="s">
        <v>442</v>
      </c>
      <c r="D15" s="9">
        <f>HLOOKUP(B15,'Monthly Returns'!$A$1:$AC$134, 127, FALSE)</f>
        <v>-0.44971049999999996</v>
      </c>
      <c r="E15" s="9">
        <f>HLOOKUP(B15,'Monthly Returns'!$A$1:$AC$134, 132, FALSE)</f>
        <v>0.23966942148760331</v>
      </c>
      <c r="H15" s="9">
        <f>HLOOKUP(B15,'Yearly returns'!$B$1:$V$140, 133, FALSE)</f>
        <v>0.28925619834710742</v>
      </c>
      <c r="I15" s="9">
        <f>HLOOKUP(B15,'Yearly returns'!$B$1:$V$140, 138, FALSE)</f>
        <v>0.60599999999999998</v>
      </c>
      <c r="L15" s="47">
        <f t="shared" si="0"/>
        <v>19.999999999999996</v>
      </c>
      <c r="M15" s="47">
        <f t="shared" si="1"/>
        <v>44.999999999999993</v>
      </c>
      <c r="N15" s="47">
        <f t="shared" si="2"/>
        <v>30.000000000000004</v>
      </c>
      <c r="P15">
        <f>L15*Assumption!$E$53 + M15*Assumption!$F$53 + N15*Assumption!$G$53</f>
        <v>31.25</v>
      </c>
      <c r="R15" cm="1">
        <f t="array" ref="R15">_xlfn.PERCENTRANK.EXC(_xlfn._xlws.FILTER(P$4:P$24, ISNUMBER(P$4:P$24)),P15)*100</f>
        <v>18.099999999999998</v>
      </c>
    </row>
    <row r="16" spans="2:18" x14ac:dyDescent="0.35">
      <c r="B16" t="s">
        <v>28</v>
      </c>
      <c r="C16" t="s">
        <v>443</v>
      </c>
      <c r="D16" s="9">
        <f>HLOOKUP(B16,'Monthly Returns'!$A$1:$AC$134, 127, FALSE)</f>
        <v>-0.45405406999999998</v>
      </c>
      <c r="E16" s="9">
        <f>HLOOKUP(B16,'Monthly Returns'!$A$1:$AC$134, 132, FALSE)</f>
        <v>0.28099173553719009</v>
      </c>
      <c r="H16" s="9">
        <f>HLOOKUP(B16,'Yearly returns'!$B$1:$V$140, 133, FALSE)</f>
        <v>0.42975206611570249</v>
      </c>
      <c r="I16" s="9">
        <f>HLOOKUP(B16,'Yearly returns'!$B$1:$V$140, 138, FALSE)</f>
        <v>0.58099999999999996</v>
      </c>
      <c r="L16" s="47">
        <f t="shared" si="0"/>
        <v>5.0000000000000044</v>
      </c>
      <c r="M16" s="47">
        <f t="shared" si="1"/>
        <v>0</v>
      </c>
      <c r="N16" s="47">
        <f t="shared" si="2"/>
        <v>35</v>
      </c>
      <c r="P16">
        <f>L16*Assumption!$E$53 + M16*Assumption!$F$53 + N16*Assumption!$G$53</f>
        <v>18.75</v>
      </c>
      <c r="R16" cm="1">
        <f t="array" ref="R16">_xlfn.PERCENTRANK.EXC(_xlfn._xlws.FILTER(P$4:P$24, ISNUMBER(P$4:P$24)),P16)*100</f>
        <v>13.600000000000001</v>
      </c>
    </row>
    <row r="17" spans="2:18" x14ac:dyDescent="0.35">
      <c r="B17" t="s">
        <v>32</v>
      </c>
      <c r="C17" t="s">
        <v>52</v>
      </c>
      <c r="D17" s="9">
        <f>HLOOKUP(B17,'Monthly Returns'!$A$1:$AC$134, 127, FALSE)</f>
        <v>-0.35364130000000005</v>
      </c>
      <c r="E17" s="9">
        <f>HLOOKUP(B17,'Monthly Returns'!$A$1:$AC$134, 132, FALSE)</f>
        <v>0.15702479338842976</v>
      </c>
      <c r="H17" s="9">
        <f>HLOOKUP(B17,'Yearly returns'!$B$1:$V$140, 133, FALSE)</f>
        <v>0.12396694214876033</v>
      </c>
      <c r="I17" s="9">
        <f>HLOOKUP(B17,'Yearly returns'!$B$1:$V$140, 138, FALSE)</f>
        <v>0.79500000000000004</v>
      </c>
      <c r="L17" s="47">
        <f t="shared" si="0"/>
        <v>70</v>
      </c>
      <c r="M17" s="47">
        <f t="shared" si="1"/>
        <v>100</v>
      </c>
      <c r="N17" s="47">
        <f t="shared" si="2"/>
        <v>15.000000000000002</v>
      </c>
      <c r="P17">
        <f>L17*Assumption!$E$53 + M17*Assumption!$F$53 + N17*Assumption!$G$53</f>
        <v>50</v>
      </c>
      <c r="R17" cm="1">
        <f t="array" ref="R17">_xlfn.PERCENTRANK.EXC(_xlfn._xlws.FILTER(P$4:P$24, ISNUMBER(P$4:P$24)),P17)*100</f>
        <v>45.4</v>
      </c>
    </row>
    <row r="18" spans="2:18" x14ac:dyDescent="0.35">
      <c r="B18" t="s">
        <v>26</v>
      </c>
      <c r="C18" t="s">
        <v>41</v>
      </c>
      <c r="D18" s="9">
        <f>HLOOKUP(B18,'Monthly Returns'!$A$1:$AC$134, 127, FALSE)</f>
        <v>-0.19234306000000001</v>
      </c>
      <c r="E18" s="9">
        <f>HLOOKUP(B18,'Monthly Returns'!$A$1:$AC$134, 132, FALSE)</f>
        <v>0.21487603305785125</v>
      </c>
      <c r="H18" s="9">
        <f>HLOOKUP(B18,'Yearly returns'!$B$1:$V$140, 133, FALSE)</f>
        <v>0.31404958677685951</v>
      </c>
      <c r="I18" s="9">
        <f>HLOOKUP(B18,'Yearly returns'!$B$1:$V$140, 138, FALSE)</f>
        <v>0.41799999999999998</v>
      </c>
      <c r="L18" s="47">
        <f t="shared" si="0"/>
        <v>30.000000000000004</v>
      </c>
      <c r="M18" s="47">
        <f t="shared" si="1"/>
        <v>40</v>
      </c>
      <c r="N18" s="47">
        <f t="shared" si="2"/>
        <v>60</v>
      </c>
      <c r="P18">
        <f>L18*Assumption!$E$53 + M18*Assumption!$F$53 + N18*Assumption!$G$53</f>
        <v>47.5</v>
      </c>
      <c r="R18" cm="1">
        <f t="array" ref="R18">_xlfn.PERCENTRANK.EXC(_xlfn._xlws.FILTER(P$4:P$24, ISNUMBER(P$4:P$24)),P18)*100</f>
        <v>31.8</v>
      </c>
    </row>
    <row r="19" spans="2:18" x14ac:dyDescent="0.35">
      <c r="B19" t="s">
        <v>31</v>
      </c>
      <c r="C19" t="s">
        <v>444</v>
      </c>
      <c r="D19" s="9">
        <f>HLOOKUP(B19,'Monthly Returns'!$A$1:$AC$134, 127, FALSE)</f>
        <v>-0.12097084000000001</v>
      </c>
      <c r="E19" s="9">
        <f>HLOOKUP(B19,'Monthly Returns'!$A$1:$AC$134, 132, FALSE)</f>
        <v>0.19008264462809918</v>
      </c>
      <c r="H19" s="9">
        <f>HLOOKUP(B19,'Yearly returns'!$B$1:$V$140, 133, FALSE)</f>
        <v>0.27027027027027029</v>
      </c>
      <c r="I19" s="9">
        <f>HLOOKUP(B19,'Yearly returns'!$B$1:$V$140, 138, FALSE)</f>
        <v>0.49099999999999999</v>
      </c>
      <c r="L19" s="47">
        <f t="shared" si="0"/>
        <v>44.999999999999993</v>
      </c>
      <c r="M19" s="47">
        <f t="shared" si="1"/>
        <v>60</v>
      </c>
      <c r="N19" s="47">
        <f t="shared" si="2"/>
        <v>50</v>
      </c>
      <c r="P19">
        <f>L19*Assumption!$E$53 + M19*Assumption!$F$53 + N19*Assumption!$G$53</f>
        <v>51.25</v>
      </c>
      <c r="R19" cm="1">
        <f t="array" ref="R19">_xlfn.PERCENTRANK.EXC(_xlfn._xlws.FILTER(P$4:P$24, ISNUMBER(P$4:P$24)),P19)*100</f>
        <v>54.500000000000007</v>
      </c>
    </row>
    <row r="20" spans="2:18" x14ac:dyDescent="0.35">
      <c r="B20" t="s">
        <v>757</v>
      </c>
      <c r="C20" s="1" t="s">
        <v>758</v>
      </c>
      <c r="D20" s="9">
        <f>HLOOKUP(B20,'Monthly Returns'!$A$1:$AC$134, 127, FALSE)</f>
        <v>-0.30643493999999999</v>
      </c>
      <c r="E20" s="9">
        <f>HLOOKUP(B20,'Monthly Returns'!$A$1:$AC$134, 132, FALSE)</f>
        <v>8.2644628099173556E-2</v>
      </c>
      <c r="H20" s="9">
        <f>HLOOKUP(B20,'Yearly returns'!$B$1:$V$140, 133, FALSE)</f>
        <v>0.20661157024793389</v>
      </c>
      <c r="I20" s="9">
        <f>HLOOKUP(B20,'Yearly returns'!$B$1:$V$140, 138, FALSE)</f>
        <v>0.13900000000000001</v>
      </c>
      <c r="L20" s="47">
        <f t="shared" si="0"/>
        <v>100</v>
      </c>
      <c r="M20" s="47">
        <f t="shared" si="1"/>
        <v>85</v>
      </c>
      <c r="N20" s="47">
        <f t="shared" si="2"/>
        <v>100</v>
      </c>
      <c r="P20">
        <f>L20*Assumption!$E$53 + M20*Assumption!$F$53 + N20*Assumption!$G$53</f>
        <v>96.25</v>
      </c>
      <c r="R20" cm="1">
        <f t="array" ref="R20">_xlfn.PERCENTRANK.EXC(_xlfn._xlws.FILTER(P$4:P$24, ISNUMBER(P$4:P$24)),P20)*100</f>
        <v>95.399999999999991</v>
      </c>
    </row>
    <row r="21" spans="2:18" x14ac:dyDescent="0.35">
      <c r="B21" t="s">
        <v>25</v>
      </c>
      <c r="C21" t="s">
        <v>446</v>
      </c>
      <c r="D21" s="9">
        <f>HLOOKUP(B21,'Monthly Returns'!$A$1:$AC$134, 127, FALSE)</f>
        <v>-0.33783295000000002</v>
      </c>
      <c r="E21" s="9">
        <f>HLOOKUP(B21,'Monthly Returns'!$A$1:$AC$134, 132, FALSE)</f>
        <v>0.24793388429752067</v>
      </c>
      <c r="H21" s="9">
        <f>HLOOKUP(B21,'Yearly returns'!$B$1:$V$140, 133, FALSE)</f>
        <v>0.36363636363636365</v>
      </c>
      <c r="I21" s="9">
        <f>HLOOKUP(B21,'Yearly returns'!$B$1:$V$140, 138, FALSE)</f>
        <v>0.877</v>
      </c>
      <c r="L21" s="47">
        <f t="shared" si="0"/>
        <v>15.000000000000002</v>
      </c>
      <c r="M21" s="47">
        <f t="shared" si="1"/>
        <v>15.000000000000002</v>
      </c>
      <c r="N21" s="47">
        <f t="shared" si="2"/>
        <v>5.0000000000000044</v>
      </c>
      <c r="P21">
        <f>L21*Assumption!$E$53 + M21*Assumption!$F$53 + N21*Assumption!$G$53</f>
        <v>10.000000000000004</v>
      </c>
      <c r="R21" cm="1">
        <f t="array" ref="R21">_xlfn.PERCENTRANK.EXC(_xlfn._xlws.FILTER(P$4:P$24, ISNUMBER(P$4:P$24)),P21)*100</f>
        <v>4.5</v>
      </c>
    </row>
    <row r="22" spans="2:18" x14ac:dyDescent="0.35">
      <c r="B22" t="s">
        <v>34</v>
      </c>
      <c r="C22" t="s">
        <v>447</v>
      </c>
      <c r="D22" s="9">
        <f>HLOOKUP(B22,'Monthly Returns'!$A$1:$AC$134, 127, FALSE)</f>
        <v>-0.29675419000000003</v>
      </c>
      <c r="E22" s="9">
        <f>HLOOKUP(B22,'Monthly Returns'!$A$1:$AC$134, 132, FALSE)</f>
        <v>0.1487603305785124</v>
      </c>
      <c r="H22" s="9">
        <f>HLOOKUP(B22,'Yearly returns'!$B$1:$V$140, 133, FALSE)</f>
        <v>0.27927927927927926</v>
      </c>
      <c r="I22" s="9">
        <f>HLOOKUP(B22,'Yearly returns'!$B$1:$V$140, 138, FALSE)</f>
        <v>0.56200000000000006</v>
      </c>
      <c r="L22" s="47">
        <f t="shared" si="0"/>
        <v>80</v>
      </c>
      <c r="M22" s="47">
        <f t="shared" si="1"/>
        <v>55.000000000000007</v>
      </c>
      <c r="N22" s="47">
        <f t="shared" si="2"/>
        <v>40</v>
      </c>
      <c r="P22">
        <f>L22*Assumption!$E$53 + M22*Assumption!$F$53 + N22*Assumption!$G$53</f>
        <v>53.75</v>
      </c>
      <c r="R22" cm="1">
        <f t="array" ref="R22">_xlfn.PERCENTRANK.EXC(_xlfn._xlws.FILTER(P$4:P$24, ISNUMBER(P$4:P$24)),P22)*100</f>
        <v>59</v>
      </c>
    </row>
    <row r="23" spans="2:18" x14ac:dyDescent="0.35">
      <c r="B23" t="s">
        <v>37</v>
      </c>
      <c r="C23" t="s">
        <v>448</v>
      </c>
      <c r="D23" s="9">
        <f>HLOOKUP(B23,'Monthly Returns'!$A$1:$AC$134, 127, FALSE)</f>
        <v>-0.29893481999999999</v>
      </c>
      <c r="E23" s="9">
        <f>HLOOKUP(B23,'Monthly Returns'!$A$1:$AC$134, 132, FALSE)</f>
        <v>0.2231404958677686</v>
      </c>
      <c r="H23" s="9">
        <f>HLOOKUP(B23,'Yearly returns'!$B$1:$V$140, 133, FALSE)</f>
        <v>0.33884297520661155</v>
      </c>
      <c r="I23" s="9">
        <f>HLOOKUP(B23,'Yearly returns'!$B$1:$V$140, 138, FALSE)</f>
        <v>0.377</v>
      </c>
      <c r="L23" s="47">
        <f t="shared" si="0"/>
        <v>25</v>
      </c>
      <c r="M23" s="47">
        <f t="shared" si="1"/>
        <v>25</v>
      </c>
      <c r="N23" s="47">
        <f t="shared" si="2"/>
        <v>75</v>
      </c>
      <c r="P23">
        <f>L23*Assumption!$E$53 + M23*Assumption!$F$53 + N23*Assumption!$G$53</f>
        <v>50</v>
      </c>
      <c r="R23" cm="1">
        <f t="array" ref="R23">_xlfn.PERCENTRANK.EXC(_xlfn._xlws.FILTER(P$4:P$24, ISNUMBER(P$4:P$24)),P23)*100</f>
        <v>45.4</v>
      </c>
    </row>
    <row r="24" spans="2:18" x14ac:dyDescent="0.35">
      <c r="B24" t="s">
        <v>36</v>
      </c>
      <c r="C24" t="s">
        <v>449</v>
      </c>
      <c r="D24" s="9">
        <f>HLOOKUP(B24,'Monthly Returns'!$A$1:$AC$134, 127, FALSE)</f>
        <v>-0.22145324999999999</v>
      </c>
      <c r="E24" s="9">
        <f>HLOOKUP(B24,'Monthly Returns'!$A$1:$AC$134, 132, FALSE)</f>
        <v>0.12264150943396226</v>
      </c>
      <c r="H24" s="9">
        <f>HLOOKUP(B24,'Yearly returns'!$B$1:$V$140, 133, FALSE)</f>
        <v>0.12631578947368421</v>
      </c>
      <c r="I24" s="9">
        <f>HLOOKUP(B24,'Yearly returns'!$B$1:$V$140, 138, FALSE)</f>
        <v>0.29099999999999998</v>
      </c>
      <c r="L24" s="47">
        <f t="shared" si="0"/>
        <v>95</v>
      </c>
      <c r="M24" s="47">
        <f t="shared" si="1"/>
        <v>95</v>
      </c>
      <c r="N24" s="47">
        <f t="shared" si="2"/>
        <v>85</v>
      </c>
      <c r="P24">
        <f>L24*Assumption!$E$53 + M24*Assumption!$F$53 + N24*Assumption!$G$53</f>
        <v>90</v>
      </c>
      <c r="R24" cm="1">
        <f t="array" ref="R24">_xlfn.PERCENTRANK.EXC(_xlfn._xlws.FILTER(P$4:P$24, ISNUMBER(P$4:P$24)),P24)*100</f>
        <v>90.9</v>
      </c>
    </row>
    <row r="25" spans="2:18" x14ac:dyDescent="0.35">
      <c r="D25" s="9"/>
    </row>
    <row r="26" spans="2:18" x14ac:dyDescent="0.35">
      <c r="D26" s="9"/>
    </row>
    <row r="27" spans="2:18" x14ac:dyDescent="0.35">
      <c r="D27" s="9"/>
    </row>
    <row r="28" spans="2:18" x14ac:dyDescent="0.35">
      <c r="D28" s="9"/>
    </row>
    <row r="29" spans="2:18" x14ac:dyDescent="0.35">
      <c r="D29" s="9"/>
    </row>
    <row r="30" spans="2:18" x14ac:dyDescent="0.35">
      <c r="D30" s="9"/>
    </row>
    <row r="31" spans="2:18" x14ac:dyDescent="0.35">
      <c r="D31" s="9"/>
    </row>
    <row r="32" spans="2:18" x14ac:dyDescent="0.35">
      <c r="D32" s="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DA328-5514-40FF-B3A2-CDAE989FE53A}">
  <dimension ref="A1:V30"/>
  <sheetViews>
    <sheetView zoomScale="85" zoomScaleNormal="85" workbookViewId="0">
      <selection activeCell="A27" sqref="A27"/>
    </sheetView>
  </sheetViews>
  <sheetFormatPr defaultRowHeight="14.5" x14ac:dyDescent="0.35"/>
  <cols>
    <col min="1" max="1" width="15.1796875" bestFit="1" customWidth="1"/>
    <col min="2" max="2" width="34.453125" bestFit="1" customWidth="1"/>
    <col min="3" max="3" width="10" bestFit="1" customWidth="1"/>
    <col min="4" max="4" width="18.1796875" bestFit="1" customWidth="1"/>
    <col min="5" max="5" width="11.54296875" customWidth="1"/>
    <col min="6" max="6" width="21" customWidth="1"/>
    <col min="7" max="7" width="11.1796875" bestFit="1" customWidth="1"/>
    <col min="8" max="9" width="31.453125" style="40" customWidth="1"/>
    <col min="10" max="10" width="36.1796875" style="40" customWidth="1"/>
    <col min="12" max="12" width="10.453125" customWidth="1"/>
    <col min="18" max="18" width="14.81640625" bestFit="1" customWidth="1"/>
    <col min="19" max="19" width="11.1796875" customWidth="1"/>
    <col min="20" max="20" width="14.1796875" bestFit="1" customWidth="1"/>
    <col min="21" max="21" width="13.453125" bestFit="1" customWidth="1"/>
    <col min="22" max="22" width="14.54296875" bestFit="1" customWidth="1"/>
  </cols>
  <sheetData>
    <row r="1" spans="1:22" x14ac:dyDescent="0.35">
      <c r="H1"/>
      <c r="I1"/>
      <c r="J1"/>
    </row>
    <row r="2" spans="1:22" x14ac:dyDescent="0.35">
      <c r="H2"/>
      <c r="I2"/>
      <c r="J2"/>
      <c r="K2" t="s">
        <v>807</v>
      </c>
      <c r="L2" s="5">
        <v>0.95</v>
      </c>
    </row>
    <row r="3" spans="1:22" x14ac:dyDescent="0.35">
      <c r="H3"/>
      <c r="I3"/>
      <c r="J3"/>
      <c r="K3" t="s">
        <v>808</v>
      </c>
      <c r="L3" s="5">
        <v>0.05</v>
      </c>
    </row>
    <row r="4" spans="1:22" x14ac:dyDescent="0.35">
      <c r="A4" t="s">
        <v>847</v>
      </c>
      <c r="B4" t="s">
        <v>530</v>
      </c>
      <c r="C4" t="s">
        <v>846</v>
      </c>
      <c r="D4" t="s">
        <v>555</v>
      </c>
      <c r="F4" t="s">
        <v>809</v>
      </c>
      <c r="G4" s="114" t="s">
        <v>844</v>
      </c>
      <c r="H4" s="114" t="s">
        <v>843</v>
      </c>
      <c r="I4" s="114" t="s">
        <v>863</v>
      </c>
      <c r="J4" s="114" t="s">
        <v>845</v>
      </c>
      <c r="S4" s="114" t="s">
        <v>844</v>
      </c>
      <c r="T4" s="114" t="s">
        <v>843</v>
      </c>
      <c r="U4" s="114" t="s">
        <v>863</v>
      </c>
      <c r="V4" s="114" t="s">
        <v>845</v>
      </c>
    </row>
    <row r="5" spans="1:22" x14ac:dyDescent="0.35">
      <c r="A5" t="s">
        <v>177</v>
      </c>
      <c r="B5" t="s">
        <v>435</v>
      </c>
      <c r="C5" t="s">
        <v>432</v>
      </c>
      <c r="D5" t="s">
        <v>615</v>
      </c>
      <c r="E5" s="3" t="s">
        <v>432</v>
      </c>
      <c r="F5" s="9">
        <f>HLOOKUP(E5,'Monthly Returns'!$A$1:$AE$136,134,FALSE)</f>
        <v>0.38700000000000001</v>
      </c>
      <c r="G5" s="7" cm="1">
        <f t="array" ref="G5">_xll.FDSZ(C5,"FG_PRICE(0)")</f>
        <v>25.88</v>
      </c>
      <c r="H5" s="7" cm="1">
        <f t="array" ref="H5">_xll.FDSZ(C5,"FG_PRICE_MAVG(0,,,,30)")</f>
        <v>25.69144</v>
      </c>
      <c r="I5" s="7" cm="1">
        <f t="array" ref="I5">_xll.FDSZ(C5,"FG_PRICE_MAVG(0,,,,60)")</f>
        <v>26.252886</v>
      </c>
      <c r="J5" s="7" cm="1">
        <f t="array" ref="J5">_xll.FDSZ(C5,"FG_PRICE_MAVG(0,,,,200)")</f>
        <v>26.173203000000001</v>
      </c>
      <c r="L5">
        <f>IF($G5&gt;H5, 1, 0)</f>
        <v>1</v>
      </c>
      <c r="M5">
        <f t="shared" ref="M5:N5" si="0">IF($G5&gt;I5, 1, 0)</f>
        <v>0</v>
      </c>
      <c r="N5">
        <f t="shared" si="0"/>
        <v>0</v>
      </c>
      <c r="P5">
        <f>SUM(L5:N5)</f>
        <v>1</v>
      </c>
      <c r="R5" t="s">
        <v>864</v>
      </c>
      <c r="S5" s="7" cm="1">
        <f t="array" ref="S5">_xll.FDSZ($R5,"FG_PRICE(0)")</f>
        <v>234.25064</v>
      </c>
      <c r="T5" s="7" cm="1">
        <f t="array" ref="T5">_xll.FDSZ($R5,"FG_PRICE(0)")</f>
        <v>234.25064</v>
      </c>
      <c r="U5" s="7" cm="1">
        <f t="array" ref="U5">_xll.FDSZ($R5,"FG_PRICE(0)")</f>
        <v>234.25064</v>
      </c>
      <c r="V5" s="7" cm="1">
        <f t="array" ref="V5">_xll.FDSZ($R5,"FG_PRICE(0)")</f>
        <v>234.25064</v>
      </c>
    </row>
    <row r="6" spans="1:22" x14ac:dyDescent="0.35">
      <c r="A6" t="s">
        <v>294</v>
      </c>
      <c r="B6" t="s">
        <v>436</v>
      </c>
      <c r="C6" t="s">
        <v>27</v>
      </c>
      <c r="D6" t="s">
        <v>614</v>
      </c>
      <c r="E6" s="3" t="s">
        <v>27</v>
      </c>
      <c r="F6" s="9">
        <f>HLOOKUP(E6,'Monthly Returns'!$A$1:$AE$136,134,FALSE)</f>
        <v>0.41799999999999998</v>
      </c>
      <c r="G6" s="152" cm="1">
        <f t="array" ref="G6">_xll.FDSZ(C6,"FG_PRICE(0)")</f>
        <v>26.24</v>
      </c>
      <c r="H6" s="152" cm="1">
        <f t="array" ref="H6">_xll.FDSZ(C6,"FG_PRICE_MAVG(0,,,,30)")</f>
        <v>26.582999999999998</v>
      </c>
      <c r="I6" s="152" cm="1">
        <f t="array" ref="I6">_xll.FDSZ(C6,"FG_PRICE_MAVG(0,,,,60)")</f>
        <v>27.341999999999999</v>
      </c>
      <c r="J6" s="152" cm="1">
        <f t="array" ref="J6">_xll.FDSZ(C6,"FG_PRICE_MAVG(0,,,,200)")</f>
        <v>26.437049999999999</v>
      </c>
      <c r="L6">
        <f t="shared" ref="L6:L25" si="1">IF($G6&gt;H6, 1, 0)</f>
        <v>0</v>
      </c>
      <c r="M6">
        <f t="shared" ref="M6:M25" si="2">IF($G6&gt;I6, 1, 0)</f>
        <v>0</v>
      </c>
      <c r="N6">
        <f t="shared" ref="N6:N25" si="3">IF($G6&gt;J6, 1, 0)</f>
        <v>0</v>
      </c>
      <c r="P6">
        <f t="shared" ref="P6:P25" si="4">SUM(L6:N6)</f>
        <v>0</v>
      </c>
      <c r="R6" t="s">
        <v>865</v>
      </c>
      <c r="S6" s="7" cm="1">
        <f t="array" ref="S6">_xll.FDSZ($R6,"FG_PRICE(0)")</f>
        <v>206.02248</v>
      </c>
      <c r="T6" s="7" cm="1">
        <f t="array" ref="T6">_xll.FDSZ($R6,"FG_PRICE(0)")</f>
        <v>206.02248</v>
      </c>
      <c r="U6" s="7" cm="1">
        <f t="array" ref="U6">_xll.FDSZ($R6,"FG_PRICE(0)")</f>
        <v>206.02248</v>
      </c>
      <c r="V6" s="7" cm="1">
        <f t="array" ref="V6">_xll.FDSZ($R6,"FG_PRICE(0)")</f>
        <v>206.02248</v>
      </c>
    </row>
    <row r="7" spans="1:22" x14ac:dyDescent="0.35">
      <c r="A7" t="s">
        <v>187</v>
      </c>
      <c r="B7" t="s">
        <v>437</v>
      </c>
      <c r="C7" t="s">
        <v>35</v>
      </c>
      <c r="D7" t="s">
        <v>651</v>
      </c>
      <c r="E7" s="3" t="s">
        <v>35</v>
      </c>
      <c r="F7" s="9">
        <f>HLOOKUP(E7,'Monthly Returns'!$A$1:$AE$136,134,FALSE)</f>
        <v>0.90900000000000003</v>
      </c>
      <c r="G7" s="152" cm="1">
        <f t="array" ref="G7">_xll.FDSZ(C7,"FG_PRICE(0)")</f>
        <v>20.190000000000001</v>
      </c>
      <c r="H7" s="152" cm="1">
        <f t="array" ref="H7">_xll.FDSZ(C7,"FG_PRICE_MAVG(0,,,,30)")</f>
        <v>19.428667000000001</v>
      </c>
      <c r="I7" s="152" cm="1">
        <f t="array" ref="I7">_xll.FDSZ(C7,"FG_PRICE_MAVG(0,,,,60)")</f>
        <v>19.985499999999998</v>
      </c>
      <c r="J7" s="152" cm="1">
        <f t="array" ref="J7">_xll.FDSZ(C7,"FG_PRICE_MAVG(0,,,,200)")</f>
        <v>21.331150000000001</v>
      </c>
      <c r="L7">
        <f t="shared" si="1"/>
        <v>1</v>
      </c>
      <c r="M7">
        <f t="shared" si="2"/>
        <v>1</v>
      </c>
      <c r="N7">
        <f t="shared" si="3"/>
        <v>0</v>
      </c>
      <c r="P7">
        <f t="shared" si="4"/>
        <v>2</v>
      </c>
      <c r="R7" t="s">
        <v>866</v>
      </c>
      <c r="S7" s="7" cm="1">
        <f t="array" ref="S7">_xll.FDSZ($R7,"FG_PRICE(0)")</f>
        <v>1122.4000000000001</v>
      </c>
      <c r="T7" s="7" cm="1">
        <f t="array" ref="T7">_xll.FDSZ($R7,"FG_PRICE(0)")</f>
        <v>1122.4000000000001</v>
      </c>
      <c r="U7" s="7" cm="1">
        <f t="array" ref="U7">_xll.FDSZ($R7,"FG_PRICE(0)")</f>
        <v>1122.4000000000001</v>
      </c>
      <c r="V7" s="7" cm="1">
        <f t="array" ref="V7">_xll.FDSZ($R7,"FG_PRICE(0)")</f>
        <v>1122.4000000000001</v>
      </c>
    </row>
    <row r="8" spans="1:22" x14ac:dyDescent="0.35">
      <c r="A8" t="s">
        <v>205</v>
      </c>
      <c r="B8" t="s">
        <v>438</v>
      </c>
      <c r="C8" t="s">
        <v>30</v>
      </c>
      <c r="D8" t="s">
        <v>699</v>
      </c>
      <c r="E8" s="3" t="s">
        <v>30</v>
      </c>
      <c r="F8" s="9">
        <f>HLOOKUP(E8,'Monthly Returns'!$A$1:$AE$136,134,FALSE)</f>
        <v>0.88500000000000001</v>
      </c>
      <c r="G8" s="152" cm="1">
        <f t="array" ref="G8">_xll.FDSZ(C8,"FG_PRICE(0)")</f>
        <v>25.57</v>
      </c>
      <c r="H8" s="152" cm="1">
        <f t="array" ref="H8">_xll.FDSZ(C8,"FG_PRICE_MAVG(0,,,,30)")</f>
        <v>24.449667000000002</v>
      </c>
      <c r="I8" s="152" cm="1">
        <f t="array" ref="I8">_xll.FDSZ(C8,"FG_PRICE_MAVG(0,,,,60)")</f>
        <v>24.949667000000002</v>
      </c>
      <c r="J8" s="152" cm="1">
        <f t="array" ref="J8">_xll.FDSZ(C8,"FG_PRICE_MAVG(0,,,,200)")</f>
        <v>25.656759999999998</v>
      </c>
      <c r="L8">
        <f t="shared" si="1"/>
        <v>1</v>
      </c>
      <c r="M8">
        <f t="shared" si="2"/>
        <v>1</v>
      </c>
      <c r="N8">
        <f t="shared" si="3"/>
        <v>0</v>
      </c>
      <c r="P8">
        <f t="shared" si="4"/>
        <v>2</v>
      </c>
      <c r="R8" t="s">
        <v>867</v>
      </c>
      <c r="S8" s="7" cm="1">
        <f t="array" ref="S8">_xll.FDSZ($R8,"FG_PRICE(0)")</f>
        <v>321.11130000000003</v>
      </c>
      <c r="T8" s="7" cm="1">
        <f t="array" ref="T8">_xll.FDSZ($R8,"FG_PRICE(0)")</f>
        <v>321.11130000000003</v>
      </c>
      <c r="U8" s="7" cm="1">
        <f t="array" ref="U8">_xll.FDSZ($R8,"FG_PRICE(0)")</f>
        <v>321.11130000000003</v>
      </c>
      <c r="V8" s="7" cm="1">
        <f t="array" ref="V8">_xll.FDSZ($R8,"FG_PRICE(0)")</f>
        <v>321.11130000000003</v>
      </c>
    </row>
    <row r="9" spans="1:22" x14ac:dyDescent="0.35">
      <c r="A9" t="s">
        <v>257</v>
      </c>
      <c r="B9" t="s">
        <v>439</v>
      </c>
      <c r="C9" t="s">
        <v>23</v>
      </c>
      <c r="D9" t="s">
        <v>700</v>
      </c>
      <c r="E9" s="3" t="s">
        <v>23</v>
      </c>
      <c r="F9" s="9">
        <f>HLOOKUP(E9,'Monthly Returns'!$A$1:$AE$136,134,FALSE)</f>
        <v>0.67200000000000004</v>
      </c>
      <c r="G9" s="152" cm="1">
        <f t="array" ref="G9">_xll.FDSZ(C9,"FG_PRICE(0)")</f>
        <v>24.39</v>
      </c>
      <c r="H9" s="152" cm="1">
        <f t="array" ref="H9">_xll.FDSZ(C9,"FG_PRICE_MAVG(0,,,,30)")</f>
        <v>24.318999999999999</v>
      </c>
      <c r="I9" s="152" cm="1">
        <f t="array" ref="I9">_xll.FDSZ(C9,"FG_PRICE_MAVG(0,,,,60)")</f>
        <v>24.568666</v>
      </c>
      <c r="J9" s="152" cm="1">
        <f t="array" ref="J9">_xll.FDSZ(C9,"FG_PRICE_MAVG(0,,,,200)")</f>
        <v>22.667950000000001</v>
      </c>
      <c r="L9">
        <f t="shared" si="1"/>
        <v>1</v>
      </c>
      <c r="M9">
        <f t="shared" si="2"/>
        <v>0</v>
      </c>
      <c r="N9">
        <f t="shared" si="3"/>
        <v>1</v>
      </c>
      <c r="P9">
        <f t="shared" si="4"/>
        <v>2</v>
      </c>
      <c r="R9" t="s">
        <v>868</v>
      </c>
      <c r="S9" s="7" cm="1">
        <f t="array" ref="S9">_xll.FDSZ($R9,"FG_PRICE(0)")</f>
        <v>215.95464000000001</v>
      </c>
      <c r="T9" s="7" cm="1">
        <f t="array" ref="T9">_xll.FDSZ($R9,"FG_PRICE(0)")</f>
        <v>215.95464000000001</v>
      </c>
      <c r="U9" s="7" cm="1">
        <f t="array" ref="U9">_xll.FDSZ($R9,"FG_PRICE(0)")</f>
        <v>215.95464000000001</v>
      </c>
      <c r="V9" s="7" cm="1">
        <f t="array" ref="V9">_xll.FDSZ($R9,"FG_PRICE(0)")</f>
        <v>215.95464000000001</v>
      </c>
    </row>
    <row r="10" spans="1:22" x14ac:dyDescent="0.35">
      <c r="A10" t="s">
        <v>304</v>
      </c>
      <c r="B10" t="s">
        <v>440</v>
      </c>
      <c r="C10" t="s">
        <v>29</v>
      </c>
      <c r="D10" t="s">
        <v>698</v>
      </c>
      <c r="E10" s="3" t="s">
        <v>29</v>
      </c>
      <c r="F10" s="9">
        <f>HLOOKUP(E10,'Monthly Returns'!$A$1:$AE$136,134,FALSE)</f>
        <v>0.59</v>
      </c>
      <c r="G10" s="152" cm="1">
        <f t="array" ref="G10">_xll.FDSZ(C10,"FG_PRICE(0)")</f>
        <v>41.02</v>
      </c>
      <c r="H10" s="152" cm="1">
        <f t="array" ref="H10">_xll.FDSZ(C10,"FG_PRICE_MAVG(0,,,,30)")</f>
        <v>41.09516</v>
      </c>
      <c r="I10" s="152" cm="1">
        <f t="array" ref="I10">_xll.FDSZ(C10,"FG_PRICE_MAVG(0,,,,60)")</f>
        <v>41.768943999999998</v>
      </c>
      <c r="J10" s="152" cm="1">
        <f t="array" ref="J10">_xll.FDSZ(C10,"FG_PRICE_MAVG(0,,,,200)")</f>
        <v>36.158085</v>
      </c>
      <c r="L10">
        <f t="shared" si="1"/>
        <v>0</v>
      </c>
      <c r="M10">
        <f t="shared" si="2"/>
        <v>0</v>
      </c>
      <c r="N10">
        <f t="shared" si="3"/>
        <v>1</v>
      </c>
      <c r="P10">
        <f t="shared" si="4"/>
        <v>1</v>
      </c>
      <c r="R10" t="s">
        <v>869</v>
      </c>
      <c r="S10" s="7" cm="1">
        <f t="array" ref="S10">_xll.FDSZ($R10,"FG_PRICE(0)")</f>
        <v>819.08</v>
      </c>
      <c r="T10" s="7" cm="1">
        <f t="array" ref="T10">_xll.FDSZ($R10,"FG_PRICE(0)")</f>
        <v>819.08</v>
      </c>
      <c r="U10" s="7" cm="1">
        <f t="array" ref="U10">_xll.FDSZ($R10,"FG_PRICE(0)")</f>
        <v>819.08</v>
      </c>
      <c r="V10" s="7" cm="1">
        <f t="array" ref="V10">_xll.FDSZ($R10,"FG_PRICE(0)")</f>
        <v>819.08</v>
      </c>
    </row>
    <row r="11" spans="1:22" x14ac:dyDescent="0.35">
      <c r="A11" t="s">
        <v>194</v>
      </c>
      <c r="B11" t="s">
        <v>441</v>
      </c>
      <c r="C11" t="s">
        <v>33</v>
      </c>
      <c r="D11" t="s">
        <v>673</v>
      </c>
      <c r="E11" s="3" t="s">
        <v>33</v>
      </c>
      <c r="F11" s="9">
        <f>HLOOKUP(E11,'Monthly Returns'!$A$1:$AE$136,134,FALSE)</f>
        <v>0.67200000000000004</v>
      </c>
      <c r="G11" s="152" cm="1">
        <f t="array" ref="G11">_xll.FDSZ(C11,"FG_PRICE(0)")</f>
        <v>23.28</v>
      </c>
      <c r="H11" s="152" cm="1">
        <f t="array" ref="H11">_xll.FDSZ(C11,"FG_PRICE_MAVG(0,,,,30)")</f>
        <v>22.861000000000001</v>
      </c>
      <c r="I11" s="152" cm="1">
        <f t="array" ref="I11">_xll.FDSZ(C11,"FG_PRICE_MAVG(0,,,,60)")</f>
        <v>22.855499999999999</v>
      </c>
      <c r="J11" s="152" cm="1">
        <f t="array" ref="J11">_xll.FDSZ(C11,"FG_PRICE_MAVG(0,,,,200)")</f>
        <v>21.775600000000001</v>
      </c>
      <c r="L11">
        <f t="shared" si="1"/>
        <v>1</v>
      </c>
      <c r="M11">
        <f t="shared" si="2"/>
        <v>1</v>
      </c>
      <c r="N11">
        <f t="shared" si="3"/>
        <v>1</v>
      </c>
      <c r="P11">
        <f t="shared" si="4"/>
        <v>3</v>
      </c>
      <c r="R11" t="s">
        <v>870</v>
      </c>
      <c r="S11" s="7" cm="1">
        <f t="array" ref="S11">_xll.FDSZ($R11,"FG_PRICE(0)")</f>
        <v>259.16385000000002</v>
      </c>
      <c r="T11" s="7" cm="1">
        <f t="array" ref="T11">_xll.FDSZ($R11,"FG_PRICE(0)")</f>
        <v>259.16385000000002</v>
      </c>
      <c r="U11" s="7" cm="1">
        <f t="array" ref="U11">_xll.FDSZ($R11,"FG_PRICE(0)")</f>
        <v>259.16385000000002</v>
      </c>
      <c r="V11" s="7" cm="1">
        <f t="array" ref="V11">_xll.FDSZ($R11,"FG_PRICE(0)")</f>
        <v>259.16385000000002</v>
      </c>
    </row>
    <row r="12" spans="1:22" x14ac:dyDescent="0.35">
      <c r="A12" t="s">
        <v>217</v>
      </c>
      <c r="B12" t="s">
        <v>40</v>
      </c>
      <c r="C12" t="s">
        <v>24</v>
      </c>
      <c r="D12" t="s">
        <v>720</v>
      </c>
      <c r="E12" s="3" t="s">
        <v>24</v>
      </c>
      <c r="F12" s="9">
        <f>HLOOKUP(E12,'Monthly Returns'!$A$1:$AE$136,134,FALSE)</f>
        <v>0.245</v>
      </c>
      <c r="G12" s="152" cm="1">
        <f t="array" ref="G12">_xll.FDSZ(C12,"FG_PRICE(0)")</f>
        <v>53.14</v>
      </c>
      <c r="H12" s="152" cm="1">
        <f t="array" ref="H12">_xll.FDSZ(C12,"FG_PRICE_MAVG(0,,,,30)")</f>
        <v>54.258335000000002</v>
      </c>
      <c r="I12" s="152" cm="1">
        <f t="array" ref="I12">_xll.FDSZ(C12,"FG_PRICE_MAVG(0,,,,60)")</f>
        <v>51.945</v>
      </c>
      <c r="J12" s="152" cm="1">
        <f t="array" ref="J12">_xll.FDSZ(C12,"FG_PRICE_MAVG(0,,,,200)")</f>
        <v>48.140500000000003</v>
      </c>
      <c r="L12">
        <f t="shared" si="1"/>
        <v>0</v>
      </c>
      <c r="M12">
        <f t="shared" si="2"/>
        <v>1</v>
      </c>
      <c r="N12">
        <f t="shared" si="3"/>
        <v>1</v>
      </c>
      <c r="P12">
        <f t="shared" si="4"/>
        <v>2</v>
      </c>
      <c r="R12" t="s">
        <v>871</v>
      </c>
      <c r="S12" s="7" cm="1">
        <f t="array" ref="S12">_xll.FDSZ($R12,"FG_PRICE(0)")</f>
        <v>377.49400000000003</v>
      </c>
      <c r="T12" s="7" cm="1">
        <f t="array" ref="T12">_xll.FDSZ($R12,"FG_PRICE(0)")</f>
        <v>377.49400000000003</v>
      </c>
      <c r="U12" s="7" cm="1">
        <f t="array" ref="U12">_xll.FDSZ($R12,"FG_PRICE(0)")</f>
        <v>377.49400000000003</v>
      </c>
      <c r="V12" s="7" cm="1">
        <f t="array" ref="V12">_xll.FDSZ($R12,"FG_PRICE(0)")</f>
        <v>377.49400000000003</v>
      </c>
    </row>
    <row r="13" spans="1:22" x14ac:dyDescent="0.35">
      <c r="A13" t="s">
        <v>301</v>
      </c>
      <c r="B13" t="s">
        <v>53</v>
      </c>
      <c r="C13" t="s">
        <v>7</v>
      </c>
      <c r="D13" t="s">
        <v>678</v>
      </c>
      <c r="E13" s="3" t="s">
        <v>7</v>
      </c>
      <c r="F13" s="9">
        <f>HLOOKUP(E13,'Monthly Returns'!$A$1:$AE$136,134,FALSE)</f>
        <v>0.65500000000000003</v>
      </c>
      <c r="G13" s="152" cm="1">
        <f t="array" ref="G13">_xll.FDSZ(C13,"FG_PRICE(0)")</f>
        <v>58.59</v>
      </c>
      <c r="H13" s="152" cm="1">
        <f t="array" ref="H13">_xll.FDSZ(C13,"FG_PRICE_MAVG(0,,,,30)")</f>
        <v>57.874000000000002</v>
      </c>
      <c r="I13" s="152" cm="1">
        <f t="array" ref="I13">_xll.FDSZ(C13,"FG_PRICE_MAVG(0,,,,60)")</f>
        <v>62.037999999999997</v>
      </c>
      <c r="J13" s="152" cm="1">
        <f t="array" ref="J13">_xll.FDSZ(C13,"FG_PRICE_MAVG(0,,,,200)")</f>
        <v>63.382899999999999</v>
      </c>
      <c r="L13">
        <f t="shared" si="1"/>
        <v>1</v>
      </c>
      <c r="M13">
        <f t="shared" si="2"/>
        <v>0</v>
      </c>
      <c r="N13">
        <f t="shared" si="3"/>
        <v>0</v>
      </c>
      <c r="P13">
        <f t="shared" si="4"/>
        <v>1</v>
      </c>
      <c r="R13" t="s">
        <v>872</v>
      </c>
      <c r="S13" s="7" cm="1">
        <f t="array" ref="S13">_xll.FDSZ($R13,"FG_PRICE(0)")</f>
        <v>477.20877000000002</v>
      </c>
      <c r="T13" s="7" cm="1">
        <f t="array" ref="T13">_xll.FDSZ($R13,"FG_PRICE(0)")</f>
        <v>477.20877000000002</v>
      </c>
      <c r="U13" s="7" cm="1">
        <f t="array" ref="U13">_xll.FDSZ($R13,"FG_PRICE(0)")</f>
        <v>477.20877000000002</v>
      </c>
      <c r="V13" s="7" cm="1">
        <f t="array" ref="V13">_xll.FDSZ($R13,"FG_PRICE(0)")</f>
        <v>477.20877000000002</v>
      </c>
    </row>
    <row r="14" spans="1:22" x14ac:dyDescent="0.35">
      <c r="A14" t="s">
        <v>210</v>
      </c>
      <c r="B14" t="s">
        <v>38</v>
      </c>
      <c r="C14" t="s">
        <v>21</v>
      </c>
      <c r="D14" t="s">
        <v>660</v>
      </c>
      <c r="E14" s="3" t="s">
        <v>21</v>
      </c>
      <c r="F14" s="9">
        <f>HLOOKUP(E14,'Monthly Returns'!$A$1:$AE$136,134,FALSE)</f>
        <v>0.45</v>
      </c>
      <c r="G14" s="152" cm="1">
        <f t="array" ref="G14">_xll.FDSZ(C14,"FG_PRICE(0)")</f>
        <v>65.23</v>
      </c>
      <c r="H14" s="152" cm="1">
        <f t="array" ref="H14">_xll.FDSZ(C14,"FG_PRICE_MAVG(0,,,,30)")</f>
        <v>66.138999999999996</v>
      </c>
      <c r="I14" s="152" cm="1">
        <f t="array" ref="I14">_xll.FDSZ(C14,"FG_PRICE_MAVG(0,,,,60)")</f>
        <v>65.258499999999998</v>
      </c>
      <c r="J14" s="152" cm="1">
        <f t="array" ref="J14">_xll.FDSZ(C14,"FG_PRICE_MAVG(0,,,,200)")</f>
        <v>63.239100000000001</v>
      </c>
      <c r="L14">
        <f t="shared" si="1"/>
        <v>0</v>
      </c>
      <c r="M14">
        <f t="shared" si="2"/>
        <v>0</v>
      </c>
      <c r="N14">
        <f t="shared" si="3"/>
        <v>1</v>
      </c>
      <c r="P14">
        <f t="shared" si="4"/>
        <v>1</v>
      </c>
      <c r="R14" t="s">
        <v>873</v>
      </c>
      <c r="S14" s="7" cm="1">
        <f t="array" ref="S14">_xll.FDSZ($R14,"FG_PRICE(0)")</f>
        <v>472.56375000000003</v>
      </c>
      <c r="T14" s="7" cm="1">
        <f t="array" ref="T14">_xll.FDSZ($R14,"FG_PRICE(0)")</f>
        <v>472.56375000000003</v>
      </c>
      <c r="U14" s="7" cm="1">
        <f t="array" ref="U14">_xll.FDSZ($R14,"FG_PRICE(0)")</f>
        <v>472.56375000000003</v>
      </c>
      <c r="V14" s="7" cm="1">
        <f t="array" ref="V14">_xll.FDSZ($R14,"FG_PRICE(0)")</f>
        <v>472.56375000000003</v>
      </c>
    </row>
    <row r="15" spans="1:22" x14ac:dyDescent="0.35">
      <c r="A15" t="s">
        <v>291</v>
      </c>
      <c r="B15" t="s">
        <v>54</v>
      </c>
      <c r="C15" t="s">
        <v>12</v>
      </c>
      <c r="D15" t="s">
        <v>603</v>
      </c>
      <c r="E15" s="3" t="s">
        <v>12</v>
      </c>
      <c r="F15" s="9">
        <f>HLOOKUP(E15,'Monthly Returns'!$A$1:$AE$136,134,FALSE)</f>
        <v>0.63900000000000001</v>
      </c>
      <c r="G15" s="152" cm="1">
        <f t="array" ref="G15">_xll.FDSZ(C15,"FG_PRICE(0)")</f>
        <v>28</v>
      </c>
      <c r="H15" s="152" cm="1">
        <f t="array" ref="H15">_xll.FDSZ(C15,"FG_PRICE_MAVG(0,,,,30)")</f>
        <v>28.056334</v>
      </c>
      <c r="I15" s="152" cm="1">
        <f t="array" ref="I15">_xll.FDSZ(C15,"FG_PRICE_MAVG(0,,,,60)")</f>
        <v>29.591999999999999</v>
      </c>
      <c r="J15" s="152" cm="1">
        <f t="array" ref="J15">_xll.FDSZ(C15,"FG_PRICE_MAVG(0,,,,200)")</f>
        <v>31.691199999999998</v>
      </c>
      <c r="L15">
        <f t="shared" si="1"/>
        <v>0</v>
      </c>
      <c r="M15">
        <f t="shared" si="2"/>
        <v>0</v>
      </c>
      <c r="N15">
        <f t="shared" si="3"/>
        <v>0</v>
      </c>
      <c r="P15">
        <f t="shared" si="4"/>
        <v>0</v>
      </c>
      <c r="R15" t="s">
        <v>874</v>
      </c>
      <c r="S15" s="7" cm="1">
        <f t="array" ref="S15">_xll.FDSZ($R15,"FG_PRICE(0)")</f>
        <v>189.46117000000001</v>
      </c>
      <c r="T15" s="7" cm="1">
        <f t="array" ref="T15">_xll.FDSZ($R15,"FG_PRICE(0)")</f>
        <v>189.46117000000001</v>
      </c>
      <c r="U15" s="7" cm="1">
        <f t="array" ref="U15">_xll.FDSZ($R15,"FG_PRICE(0)")</f>
        <v>189.46117000000001</v>
      </c>
      <c r="V15" s="7" cm="1">
        <f t="array" ref="V15">_xll.FDSZ($R15,"FG_PRICE(0)")</f>
        <v>189.46117000000001</v>
      </c>
    </row>
    <row r="16" spans="1:22" x14ac:dyDescent="0.35">
      <c r="A16" t="s">
        <v>366</v>
      </c>
      <c r="B16" t="s">
        <v>442</v>
      </c>
      <c r="C16" t="s">
        <v>22</v>
      </c>
      <c r="D16" t="s">
        <v>713</v>
      </c>
      <c r="E16" s="3" t="s">
        <v>22</v>
      </c>
      <c r="F16" s="9">
        <f>HLOOKUP(E16,'Monthly Returns'!$A$1:$AE$136,134,FALSE)</f>
        <v>0.36</v>
      </c>
      <c r="G16" s="152" cm="1">
        <f t="array" ref="G16">_xll.FDSZ(C16,"FG_PRICE(0)")</f>
        <v>43.27</v>
      </c>
      <c r="H16" s="152" cm="1">
        <f t="array" ref="H16">_xll.FDSZ(C16,"FG_PRICE_MAVG(0,,,,30)")</f>
        <v>42.978000000000002</v>
      </c>
      <c r="I16" s="152" cm="1">
        <f t="array" ref="I16">_xll.FDSZ(C16,"FG_PRICE_MAVG(0,,,,60)")</f>
        <v>42.410167999999999</v>
      </c>
      <c r="J16" s="152" cm="1">
        <f t="array" ref="J16">_xll.FDSZ(C16,"FG_PRICE_MAVG(0,,,,200)")</f>
        <v>40.049149999999997</v>
      </c>
      <c r="L16">
        <f t="shared" si="1"/>
        <v>1</v>
      </c>
      <c r="M16">
        <f t="shared" si="2"/>
        <v>1</v>
      </c>
      <c r="N16">
        <f t="shared" si="3"/>
        <v>1</v>
      </c>
      <c r="P16">
        <f t="shared" si="4"/>
        <v>3</v>
      </c>
      <c r="R16" t="s">
        <v>875</v>
      </c>
      <c r="S16" s="7" cm="1">
        <f t="array" ref="S16">_xll.FDSZ($R16,"FG_PRICE(0)")</f>
        <v>336.19635</v>
      </c>
      <c r="T16" s="7" cm="1">
        <f t="array" ref="T16">_xll.FDSZ($R16,"FG_PRICE(0)")</f>
        <v>336.19635</v>
      </c>
      <c r="U16" s="7" cm="1">
        <f t="array" ref="U16">_xll.FDSZ($R16,"FG_PRICE(0)")</f>
        <v>336.19635</v>
      </c>
      <c r="V16" s="7" cm="1">
        <f t="array" ref="V16">_xll.FDSZ($R16,"FG_PRICE(0)")</f>
        <v>336.19635</v>
      </c>
    </row>
    <row r="17" spans="1:22" x14ac:dyDescent="0.35">
      <c r="A17" t="s">
        <v>498</v>
      </c>
      <c r="B17" t="s">
        <v>443</v>
      </c>
      <c r="C17" t="s">
        <v>28</v>
      </c>
      <c r="D17" t="s">
        <v>640</v>
      </c>
      <c r="E17" s="3" t="s">
        <v>28</v>
      </c>
      <c r="F17" s="9">
        <f>HLOOKUP(E17,'Monthly Returns'!$A$1:$AE$136,134,FALSE)</f>
        <v>0.71299999999999997</v>
      </c>
      <c r="G17" s="152" cm="1">
        <f t="array" ref="G17">_xll.FDSZ(C17,"FG_PRICE(0)")</f>
        <v>42.28</v>
      </c>
      <c r="H17" s="152" cm="1">
        <f t="array" ref="H17">_xll.FDSZ(C17,"FG_PRICE_MAVG(0,,,,30)")</f>
        <v>40.912754</v>
      </c>
      <c r="I17" s="152" cm="1">
        <f t="array" ref="I17">_xll.FDSZ(C17,"FG_PRICE_MAVG(0,,,,60)")</f>
        <v>41.280459999999998</v>
      </c>
      <c r="J17" s="152" cm="1">
        <f t="array" ref="J17">_xll.FDSZ(C17,"FG_PRICE_MAVG(0,,,,200)")</f>
        <v>38.758246999999997</v>
      </c>
      <c r="L17">
        <f t="shared" si="1"/>
        <v>1</v>
      </c>
      <c r="M17">
        <f t="shared" si="2"/>
        <v>1</v>
      </c>
      <c r="N17">
        <f t="shared" si="3"/>
        <v>1</v>
      </c>
      <c r="P17">
        <f t="shared" si="4"/>
        <v>3</v>
      </c>
      <c r="R17" t="s">
        <v>876</v>
      </c>
      <c r="S17" s="7" cm="1">
        <f t="array" ref="S17">_xll.FDSZ($R17,"FG_PRICE(0)")</f>
        <v>9.9356950000000008</v>
      </c>
      <c r="T17" s="7" cm="1">
        <f t="array" ref="T17">_xll.FDSZ($R17,"FG_PRICE(0)")</f>
        <v>9.9356950000000008</v>
      </c>
      <c r="U17" s="7" cm="1">
        <f t="array" ref="U17">_xll.FDSZ($R17,"FG_PRICE(0)")</f>
        <v>9.9356950000000008</v>
      </c>
      <c r="V17" s="7" cm="1">
        <f t="array" ref="V17">_xll.FDSZ($R17,"FG_PRICE(0)")</f>
        <v>9.9356950000000008</v>
      </c>
    </row>
    <row r="18" spans="1:22" x14ac:dyDescent="0.35">
      <c r="A18" t="s">
        <v>184</v>
      </c>
      <c r="B18" t="s">
        <v>52</v>
      </c>
      <c r="C18" t="s">
        <v>32</v>
      </c>
      <c r="D18" t="s">
        <v>650</v>
      </c>
      <c r="E18" s="3" t="s">
        <v>32</v>
      </c>
      <c r="F18" s="9">
        <f>HLOOKUP(E18,'Monthly Returns'!$A$1:$AE$136,134,FALSE)</f>
        <v>0.46700000000000003</v>
      </c>
      <c r="G18" s="152" cm="1">
        <f t="array" ref="G18">_xll.FDSZ(C18,"FG_PRICE(0)")</f>
        <v>56.18</v>
      </c>
      <c r="H18" s="152" cm="1">
        <f t="array" ref="H18">_xll.FDSZ(C18,"FG_PRICE_MAVG(0,,,,30)")</f>
        <v>55.741664999999998</v>
      </c>
      <c r="I18" s="152" cm="1">
        <f t="array" ref="I18">_xll.FDSZ(C18,"FG_PRICE_MAVG(0,,,,60)")</f>
        <v>54.209499999999998</v>
      </c>
      <c r="J18" s="152" cm="1">
        <f t="array" ref="J18">_xll.FDSZ(C18,"FG_PRICE_MAVG(0,,,,200)")</f>
        <v>50.148850000000003</v>
      </c>
      <c r="L18">
        <f t="shared" si="1"/>
        <v>1</v>
      </c>
      <c r="M18">
        <f t="shared" si="2"/>
        <v>1</v>
      </c>
      <c r="N18">
        <f t="shared" si="3"/>
        <v>1</v>
      </c>
      <c r="P18">
        <f t="shared" si="4"/>
        <v>3</v>
      </c>
      <c r="R18" t="s">
        <v>877</v>
      </c>
      <c r="S18" s="7" cm="1">
        <f t="array" ref="S18">_xll.FDSZ($R18,"FG_PRICE(0)")</f>
        <v>1440.8695</v>
      </c>
      <c r="T18" s="7" cm="1">
        <f t="array" ref="T18">_xll.FDSZ($R18,"FG_PRICE(0)")</f>
        <v>1440.8695</v>
      </c>
      <c r="U18" s="7" cm="1">
        <f t="array" ref="U18">_xll.FDSZ($R18,"FG_PRICE(0)")</f>
        <v>1440.8695</v>
      </c>
      <c r="V18" s="7" cm="1">
        <f t="array" ref="V18">_xll.FDSZ($R18,"FG_PRICE(0)")</f>
        <v>1440.8695</v>
      </c>
    </row>
    <row r="19" spans="1:22" x14ac:dyDescent="0.35">
      <c r="A19" t="s">
        <v>177</v>
      </c>
      <c r="B19" t="s">
        <v>41</v>
      </c>
      <c r="C19" t="s">
        <v>26</v>
      </c>
      <c r="D19" t="s">
        <v>615</v>
      </c>
      <c r="E19" s="3" t="s">
        <v>26</v>
      </c>
      <c r="F19" s="9">
        <f>HLOOKUP(E19,'Monthly Returns'!$A$1:$AE$136,134,FALSE)</f>
        <v>0.31900000000000001</v>
      </c>
      <c r="G19" s="152" cm="1">
        <f t="array" ref="G19">_xll.FDSZ(C19,"FG_PRICE(0)")</f>
        <v>42.02</v>
      </c>
      <c r="H19" s="152" cm="1">
        <f t="array" ref="H19">_xll.FDSZ(C19,"FG_PRICE_MAVG(0,,,,30)")</f>
        <v>43.072665999999998</v>
      </c>
      <c r="I19" s="152" cm="1">
        <f t="array" ref="I19">_xll.FDSZ(C19,"FG_PRICE_MAVG(0,,,,60)")</f>
        <v>43.820500000000003</v>
      </c>
      <c r="J19" s="152" cm="1">
        <f t="array" ref="J19">_xll.FDSZ(C19,"FG_PRICE_MAVG(0,,,,200)")</f>
        <v>41.409350000000003</v>
      </c>
      <c r="L19">
        <f t="shared" si="1"/>
        <v>0</v>
      </c>
      <c r="M19">
        <f t="shared" si="2"/>
        <v>0</v>
      </c>
      <c r="N19">
        <f t="shared" si="3"/>
        <v>1</v>
      </c>
      <c r="P19">
        <f t="shared" si="4"/>
        <v>1</v>
      </c>
      <c r="R19" t="s">
        <v>864</v>
      </c>
      <c r="S19" s="7" cm="1">
        <f t="array" ref="S19">_xll.FDSZ($R19,"FG_PRICE(0)")</f>
        <v>234.25064</v>
      </c>
      <c r="T19" s="7" cm="1">
        <f t="array" ref="T19">_xll.FDSZ($R19,"FG_PRICE(0)")</f>
        <v>234.25064</v>
      </c>
      <c r="U19" s="7" cm="1">
        <f t="array" ref="U19">_xll.FDSZ($R19,"FG_PRICE(0)")</f>
        <v>234.25064</v>
      </c>
      <c r="V19" s="7" cm="1">
        <f t="array" ref="V19">_xll.FDSZ($R19,"FG_PRICE(0)")</f>
        <v>234.25064</v>
      </c>
    </row>
    <row r="20" spans="1:22" x14ac:dyDescent="0.35">
      <c r="A20" t="s">
        <v>360</v>
      </c>
      <c r="B20" t="s">
        <v>444</v>
      </c>
      <c r="C20" t="s">
        <v>31</v>
      </c>
      <c r="D20" t="s">
        <v>702</v>
      </c>
      <c r="E20" s="3" t="s">
        <v>31</v>
      </c>
      <c r="F20" s="9">
        <f>HLOOKUP(E20,'Monthly Returns'!$A$1:$AE$136,134,FALSE)</f>
        <v>0.61399999999999999</v>
      </c>
      <c r="G20" s="152" cm="1">
        <f t="array" ref="G20">_xll.FDSZ(C20,"FG_PRICE(0)")</f>
        <v>16.95</v>
      </c>
      <c r="H20" s="152" cm="1">
        <f t="array" ref="H20">_xll.FDSZ(C20,"FG_PRICE_MAVG(0,,,,30)")</f>
        <v>16.892824000000001</v>
      </c>
      <c r="I20" s="152" cm="1">
        <f t="array" ref="I20">_xll.FDSZ(C20,"FG_PRICE_MAVG(0,,,,60)")</f>
        <v>17.003193</v>
      </c>
      <c r="J20" s="152" cm="1">
        <f t="array" ref="J20">_xll.FDSZ(C20,"FG_PRICE_MAVG(0,,,,200)")</f>
        <v>17.308031</v>
      </c>
      <c r="L20">
        <f t="shared" si="1"/>
        <v>1</v>
      </c>
      <c r="M20">
        <f t="shared" si="2"/>
        <v>0</v>
      </c>
      <c r="N20">
        <f t="shared" si="3"/>
        <v>0</v>
      </c>
      <c r="P20">
        <f t="shared" si="4"/>
        <v>1</v>
      </c>
      <c r="R20" t="s">
        <v>878</v>
      </c>
      <c r="S20" s="7" cm="1">
        <f t="array" ref="S20">_xll.FDSZ($R20,"FG_PRICE(0)")</f>
        <v>101.94755600000001</v>
      </c>
      <c r="T20" s="7" cm="1">
        <f t="array" ref="T20">_xll.FDSZ($R20,"FG_PRICE(0)")</f>
        <v>101.94755600000001</v>
      </c>
      <c r="U20" s="7" cm="1">
        <f t="array" ref="U20">_xll.FDSZ($R20,"FG_PRICE(0)")</f>
        <v>101.94755600000001</v>
      </c>
      <c r="V20" s="7" cm="1">
        <f t="array" ref="V20">_xll.FDSZ($R20,"FG_PRICE(0)")</f>
        <v>101.94755600000001</v>
      </c>
    </row>
    <row r="21" spans="1:22" x14ac:dyDescent="0.35">
      <c r="A21" t="s">
        <v>221</v>
      </c>
      <c r="B21" t="s">
        <v>758</v>
      </c>
      <c r="C21" t="s">
        <v>757</v>
      </c>
      <c r="D21" t="s">
        <v>723</v>
      </c>
      <c r="E21" s="3" t="s">
        <v>757</v>
      </c>
      <c r="F21" s="9">
        <f>HLOOKUP(E21,'Monthly Returns'!$A$1:$AE$136,134,FALSE)</f>
        <v>0.63100000000000001</v>
      </c>
      <c r="G21" s="152" cm="1">
        <f t="array" ref="G21">_xll.FDSZ(C21,"FG_PRICE(0)")</f>
        <v>1317.14</v>
      </c>
      <c r="H21" s="152" cm="1">
        <f t="array" ref="H21">_xll.FDSZ(C21,"FG_PRICE_MAVG(0,,,,30)")</f>
        <v>1312.3620000000001</v>
      </c>
      <c r="I21" s="152" cm="1">
        <f t="array" ref="I21">_xll.FDSZ(C21,"FG_PRICE_MAVG(0,,,,60)")</f>
        <v>1337.3706999999999</v>
      </c>
      <c r="J21" s="152" cm="1">
        <f t="array" ref="J21">_xll.FDSZ(C21,"FG_PRICE_MAVG(0,,,,200)")</f>
        <v>1380.0930000000001</v>
      </c>
      <c r="L21">
        <f t="shared" si="1"/>
        <v>1</v>
      </c>
      <c r="M21">
        <f t="shared" si="2"/>
        <v>0</v>
      </c>
      <c r="N21">
        <f t="shared" si="3"/>
        <v>0</v>
      </c>
      <c r="P21">
        <f t="shared" si="4"/>
        <v>1</v>
      </c>
      <c r="R21" t="s">
        <v>757</v>
      </c>
      <c r="S21" s="7" cm="1">
        <f t="array" ref="S21">_xll.FDSZ($R21,"FG_PRICE(0)")</f>
        <v>1317.14</v>
      </c>
      <c r="T21" s="7" cm="1">
        <f t="array" ref="T21">_xll.FDSZ($R21,"FG_PRICE(0)")</f>
        <v>1317.14</v>
      </c>
      <c r="U21" s="7" cm="1">
        <f t="array" ref="U21">_xll.FDSZ($R21,"FG_PRICE(0)")</f>
        <v>1317.14</v>
      </c>
      <c r="V21" s="7" cm="1">
        <f t="array" ref="V21">_xll.FDSZ($R21,"FG_PRICE(0)")</f>
        <v>1317.14</v>
      </c>
    </row>
    <row r="22" spans="1:22" x14ac:dyDescent="0.35">
      <c r="A22" t="s">
        <v>279</v>
      </c>
      <c r="B22" t="s">
        <v>446</v>
      </c>
      <c r="C22" t="s">
        <v>25</v>
      </c>
      <c r="D22" t="s">
        <v>727</v>
      </c>
      <c r="E22" s="3" t="s">
        <v>25</v>
      </c>
      <c r="F22" s="9">
        <f>HLOOKUP(E22,'Monthly Returns'!$A$1:$AE$136,134,FALSE)</f>
        <v>0.65500000000000003</v>
      </c>
      <c r="G22" s="152" cm="1">
        <f t="array" ref="G22">_xll.FDSZ(C22,"FG_PRICE(0)")</f>
        <v>43.73</v>
      </c>
      <c r="H22" s="152" cm="1">
        <f t="array" ref="H22">_xll.FDSZ(C22,"FG_PRICE_MAVG(0,,,,30)")</f>
        <v>42.116332999999997</v>
      </c>
      <c r="I22" s="152" cm="1">
        <f t="array" ref="I22">_xll.FDSZ(C22,"FG_PRICE_MAVG(0,,,,60)")</f>
        <v>41.898834000000001</v>
      </c>
      <c r="J22" s="152" cm="1">
        <f t="array" ref="J22">_xll.FDSZ(C22,"FG_PRICE_MAVG(0,,,,200)")</f>
        <v>37.607272999999999</v>
      </c>
      <c r="L22">
        <f t="shared" si="1"/>
        <v>1</v>
      </c>
      <c r="M22">
        <f t="shared" si="2"/>
        <v>1</v>
      </c>
      <c r="N22">
        <f t="shared" si="3"/>
        <v>1</v>
      </c>
      <c r="P22">
        <f t="shared" si="4"/>
        <v>3</v>
      </c>
      <c r="R22" t="s">
        <v>879</v>
      </c>
      <c r="S22" s="7" cm="1">
        <f t="array" ref="S22">_xll.FDSZ($R22,"FG_PRICE(0)")</f>
        <v>257.87628000000001</v>
      </c>
      <c r="T22" s="7" cm="1">
        <f t="array" ref="T22">_xll.FDSZ($R22,"FG_PRICE(0)")</f>
        <v>257.87628000000001</v>
      </c>
      <c r="U22" s="7" cm="1">
        <f t="array" ref="U22">_xll.FDSZ($R22,"FG_PRICE(0)")</f>
        <v>257.87628000000001</v>
      </c>
      <c r="V22" s="7" cm="1">
        <f t="array" ref="V22">_xll.FDSZ($R22,"FG_PRICE(0)")</f>
        <v>257.87628000000001</v>
      </c>
    </row>
    <row r="23" spans="1:22" x14ac:dyDescent="0.35">
      <c r="A23" t="s">
        <v>373</v>
      </c>
      <c r="B23" t="s">
        <v>447</v>
      </c>
      <c r="C23" t="s">
        <v>34</v>
      </c>
      <c r="D23" t="s">
        <v>731</v>
      </c>
      <c r="E23" s="3" t="s">
        <v>34</v>
      </c>
      <c r="F23" s="9">
        <f>HLOOKUP(E23,'Monthly Returns'!$A$1:$AE$136,134,FALSE)</f>
        <v>0.82699999999999996</v>
      </c>
      <c r="G23" s="152" cm="1">
        <f t="array" ref="G23">_xll.FDSZ(C23,"FG_PRICE(0)")</f>
        <v>14.27</v>
      </c>
      <c r="H23" s="152" cm="1">
        <f t="array" ref="H23">_xll.FDSZ(C23,"FG_PRICE_MAVG(0,,,,30)")</f>
        <v>13.7325</v>
      </c>
      <c r="I23" s="152" cm="1">
        <f t="array" ref="I23">_xll.FDSZ(C23,"FG_PRICE_MAVG(0,,,,60)")</f>
        <v>13.990978</v>
      </c>
      <c r="J23" s="152" cm="1">
        <f t="array" ref="J23">_xll.FDSZ(C23,"FG_PRICE_MAVG(0,,,,200)")</f>
        <v>14.471836</v>
      </c>
      <c r="L23">
        <f t="shared" si="1"/>
        <v>1</v>
      </c>
      <c r="M23">
        <f t="shared" si="2"/>
        <v>1</v>
      </c>
      <c r="N23">
        <f t="shared" si="3"/>
        <v>0</v>
      </c>
      <c r="P23">
        <f t="shared" si="4"/>
        <v>2</v>
      </c>
      <c r="R23" t="s">
        <v>880</v>
      </c>
      <c r="S23" s="7" cm="1">
        <f t="array" ref="S23">_xll.FDSZ($R23,"FG_PRICE(0)")</f>
        <v>143.03710000000001</v>
      </c>
      <c r="T23" s="7" cm="1">
        <f t="array" ref="T23">_xll.FDSZ($R23,"FG_PRICE(0)")</f>
        <v>143.03710000000001</v>
      </c>
      <c r="U23" s="7" cm="1">
        <f t="array" ref="U23">_xll.FDSZ($R23,"FG_PRICE(0)")</f>
        <v>143.03710000000001</v>
      </c>
      <c r="V23" s="7" cm="1">
        <f t="array" ref="V23">_xll.FDSZ($R23,"FG_PRICE(0)")</f>
        <v>143.03710000000001</v>
      </c>
    </row>
    <row r="24" spans="1:22" x14ac:dyDescent="0.35">
      <c r="A24" t="s">
        <v>224</v>
      </c>
      <c r="B24" t="s">
        <v>448</v>
      </c>
      <c r="C24" t="s">
        <v>37</v>
      </c>
      <c r="D24" t="s">
        <v>736</v>
      </c>
      <c r="E24" s="3" t="s">
        <v>37</v>
      </c>
      <c r="F24" s="9">
        <f>HLOOKUP(E24,'Monthly Returns'!$A$1:$AE$136,134,FALSE)</f>
        <v>0.21299999999999999</v>
      </c>
      <c r="G24" s="152" cm="1">
        <f t="array" ref="G24">_xll.FDSZ(C24,"FG_PRICE(0)")</f>
        <v>12.05</v>
      </c>
      <c r="H24" s="152" cm="1">
        <f t="array" ref="H24">_xll.FDSZ(C24,"FG_PRICE_MAVG(0,,,,30)")</f>
        <v>12.466666</v>
      </c>
      <c r="I24" s="152" cm="1">
        <f t="array" ref="I24">_xll.FDSZ(C24,"FG_PRICE_MAVG(0,,,,60)")</f>
        <v>12.541</v>
      </c>
      <c r="J24" s="152" cm="1">
        <f t="array" ref="J24">_xll.FDSZ(C24,"FG_PRICE_MAVG(0,,,,200)")</f>
        <v>12.92075</v>
      </c>
      <c r="L24">
        <f t="shared" si="1"/>
        <v>0</v>
      </c>
      <c r="M24">
        <f t="shared" si="2"/>
        <v>0</v>
      </c>
      <c r="N24">
        <f t="shared" si="3"/>
        <v>0</v>
      </c>
      <c r="P24">
        <f t="shared" si="4"/>
        <v>0</v>
      </c>
      <c r="R24" t="s">
        <v>881</v>
      </c>
      <c r="S24" s="7" cm="1">
        <f t="array" ref="S24">_xll.FDSZ($R24,"FG_PRICE(0)")</f>
        <v>363.59203665000001</v>
      </c>
      <c r="T24" s="7" cm="1">
        <f t="array" ref="T24">_xll.FDSZ($R24,"FG_PRICE(0)")</f>
        <v>363.59203665000001</v>
      </c>
      <c r="U24" s="7" cm="1">
        <f t="array" ref="U24">_xll.FDSZ($R24,"FG_PRICE(0)")</f>
        <v>363.59203665000001</v>
      </c>
      <c r="V24" s="7" cm="1">
        <f t="array" ref="V24">_xll.FDSZ($R24,"FG_PRICE(0)")</f>
        <v>363.59203665000001</v>
      </c>
    </row>
    <row r="25" spans="1:22" x14ac:dyDescent="0.35">
      <c r="A25" t="s">
        <v>363</v>
      </c>
      <c r="B25" t="s">
        <v>449</v>
      </c>
      <c r="C25" t="s">
        <v>36</v>
      </c>
      <c r="D25" t="s">
        <v>706</v>
      </c>
      <c r="E25" s="3" t="s">
        <v>36</v>
      </c>
      <c r="F25" s="9">
        <f>HLOOKUP(E25,'Monthly Returns'!$A$1:$AE$136,134,FALSE)</f>
        <v>0.54200000000000004</v>
      </c>
      <c r="G25" s="152" cm="1">
        <f t="array" ref="G25">_xll.FDSZ(C25,"FG_PRICE(0)")</f>
        <v>42.04</v>
      </c>
      <c r="H25" s="152" cm="1">
        <f t="array" ref="H25">_xll.FDSZ(C25,"FG_PRICE_MAVG(0,,,,30)")</f>
        <v>40.898000000000003</v>
      </c>
      <c r="I25" s="152" cm="1">
        <f t="array" ref="I25">_xll.FDSZ(C25,"FG_PRICE_MAVG(0,,,,60)")</f>
        <v>41.505000000000003</v>
      </c>
      <c r="J25" s="152" cm="1">
        <f t="array" ref="J25">_xll.FDSZ(C25,"FG_PRICE_MAVG(0,,,,200)")</f>
        <v>41.66525</v>
      </c>
      <c r="L25">
        <f t="shared" si="1"/>
        <v>1</v>
      </c>
      <c r="M25">
        <f t="shared" si="2"/>
        <v>1</v>
      </c>
      <c r="N25">
        <f t="shared" si="3"/>
        <v>1</v>
      </c>
      <c r="P25">
        <f t="shared" si="4"/>
        <v>3</v>
      </c>
      <c r="R25" t="s">
        <v>882</v>
      </c>
      <c r="S25" s="7" cm="1">
        <f t="array" ref="S25">_xll.FDSZ($R25,"FG_PRICE(0)")</f>
        <v>49.148879999999998</v>
      </c>
      <c r="T25" s="7" cm="1">
        <f t="array" ref="T25">_xll.FDSZ($R25,"FG_PRICE(0)")</f>
        <v>49.148879999999998</v>
      </c>
      <c r="U25" s="7" cm="1">
        <f t="array" ref="U25">_xll.FDSZ($R25,"FG_PRICE(0)")</f>
        <v>49.148879999999998</v>
      </c>
      <c r="V25" s="7" cm="1">
        <f t="array" ref="V25">_xll.FDSZ($R25,"FG_PRICE(0)")</f>
        <v>49.148879999999998</v>
      </c>
    </row>
    <row r="27" spans="1:22" x14ac:dyDescent="0.35">
      <c r="K27" s="119" t="s">
        <v>908</v>
      </c>
      <c r="L27" s="119">
        <f>SUM(L5:L25)</f>
        <v>14</v>
      </c>
      <c r="M27" s="119">
        <f>SUM(M5:M25)</f>
        <v>10</v>
      </c>
      <c r="N27" s="119">
        <f>SUM(N5:N25)</f>
        <v>11</v>
      </c>
    </row>
    <row r="28" spans="1:22" x14ac:dyDescent="0.35">
      <c r="K28" s="119" t="s">
        <v>86</v>
      </c>
      <c r="L28" s="119">
        <f>COUNT(L5:L25)</f>
        <v>21</v>
      </c>
      <c r="M28" s="119">
        <f>COUNT(M5:M25)</f>
        <v>21</v>
      </c>
      <c r="N28" s="119">
        <f>COUNT(N5:N25)</f>
        <v>21</v>
      </c>
    </row>
    <row r="29" spans="1:22" x14ac:dyDescent="0.35">
      <c r="K29" s="119"/>
      <c r="L29" s="119"/>
      <c r="M29" s="119"/>
      <c r="N29" s="119"/>
    </row>
    <row r="30" spans="1:22" x14ac:dyDescent="0.35">
      <c r="K30" s="119" t="s">
        <v>88</v>
      </c>
      <c r="L30" s="178">
        <f>L27/L28</f>
        <v>0.66666666666666663</v>
      </c>
      <c r="M30" s="178">
        <f t="shared" ref="M30:N30" si="5">M27/M28</f>
        <v>0.47619047619047616</v>
      </c>
      <c r="N30" s="178">
        <f t="shared" si="5"/>
        <v>0.52380952380952384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05AB5-57C2-41E5-A6C3-F039F33CB971}">
  <dimension ref="A2:T32"/>
  <sheetViews>
    <sheetView workbookViewId="0">
      <selection activeCell="K14" sqref="K14"/>
    </sheetView>
  </sheetViews>
  <sheetFormatPr defaultRowHeight="14.5" x14ac:dyDescent="0.35"/>
  <cols>
    <col min="1" max="2" width="17" customWidth="1"/>
    <col min="3" max="3" width="11.453125" customWidth="1"/>
    <col min="4" max="4" width="14.54296875" customWidth="1"/>
    <col min="5" max="5" width="12.54296875" customWidth="1"/>
    <col min="6" max="6" width="10" customWidth="1"/>
    <col min="7" max="7" width="15.54296875" bestFit="1" customWidth="1"/>
    <col min="8" max="8" width="11.453125" customWidth="1"/>
    <col min="9" max="9" width="19.54296875" bestFit="1" customWidth="1"/>
    <col min="10" max="10" width="15.453125" customWidth="1"/>
    <col min="16" max="16" width="22.81640625" customWidth="1"/>
    <col min="17" max="17" width="32.54296875" customWidth="1"/>
    <col min="18" max="20" width="12.453125" customWidth="1"/>
  </cols>
  <sheetData>
    <row r="2" spans="1:20" x14ac:dyDescent="0.35">
      <c r="B2" t="s">
        <v>810</v>
      </c>
      <c r="C2" t="s">
        <v>811</v>
      </c>
      <c r="D2" t="s">
        <v>812</v>
      </c>
      <c r="E2" t="s">
        <v>813</v>
      </c>
      <c r="F2" t="s">
        <v>814</v>
      </c>
      <c r="G2" t="s">
        <v>815</v>
      </c>
      <c r="H2" t="s">
        <v>816</v>
      </c>
      <c r="I2" t="s">
        <v>817</v>
      </c>
      <c r="J2" t="s">
        <v>818</v>
      </c>
      <c r="S2" t="s">
        <v>819</v>
      </c>
    </row>
    <row r="3" spans="1:20" x14ac:dyDescent="0.35">
      <c r="A3" t="s">
        <v>820</v>
      </c>
      <c r="B3" t="s">
        <v>821</v>
      </c>
      <c r="C3" cm="1">
        <f t="array" ref="C3">_xll.FDS($A3,"FG_PRICE(0)")</f>
        <v>108.73</v>
      </c>
      <c r="D3" cm="1">
        <f t="array" ref="D3">_xll.FDS($A3,"FG_PRICE_MAVG(0,,,,30)")</f>
        <v>108.298</v>
      </c>
      <c r="E3" s="47" cm="1">
        <f t="array" ref="E3">_xll.FDS($A3,"FG_PRICE_CHANGE(0,-1AM)")</f>
        <v>1.51246382223882</v>
      </c>
      <c r="F3" s="47" cm="1">
        <f t="array" ref="F3">_xll.FDS($A3,"FG_PRICE_CHANGE(0,-3AM)")</f>
        <v>0.44341801385681101</v>
      </c>
      <c r="G3" s="47" cm="1">
        <f t="array" ref="G3">_xll.FDS($A3,"FG_PRICE_CHANGE(0,-6AM)")</f>
        <v>-19.980865469531899</v>
      </c>
      <c r="H3" s="47" cm="1">
        <f t="array" ref="H3">_xll.FDS($A3,"FG_PRICE_CHANGE(0,-1AY)")</f>
        <v>-2.98893647394718</v>
      </c>
      <c r="I3" s="47" cm="1">
        <f t="array" ref="I3">_xll.FDS($A3,"FG_PRICE(0)/MAX(FG_PRICE(0,-1AY))")</f>
        <v>0.75423140954495005</v>
      </c>
      <c r="J3" cm="1">
        <f t="array" ref="J3">_xll.FDS($A3,"MAX(FG_PRICE(0,-5AY))")</f>
        <v>219.77</v>
      </c>
      <c r="P3" t="s">
        <v>432</v>
      </c>
      <c r="Q3" t="s">
        <v>435</v>
      </c>
      <c r="R3" t="s">
        <v>432</v>
      </c>
      <c r="S3">
        <f>IF(E3&lt;$C$19, -1, IF(E3&gt;$C$20,1,0))</f>
        <v>0</v>
      </c>
      <c r="T3">
        <f>S3</f>
        <v>0</v>
      </c>
    </row>
    <row r="4" spans="1:20" x14ac:dyDescent="0.35">
      <c r="A4" t="s">
        <v>822</v>
      </c>
      <c r="B4" t="s">
        <v>823</v>
      </c>
      <c r="C4" cm="1">
        <f t="array" ref="C4">_xll.FDS($A4,"FG_PRICE(0)")</f>
        <v>4.2190000000000003</v>
      </c>
      <c r="D4" cm="1">
        <f t="array" ref="D4">_xll.FDS($A4,"FG_PRICE_MAVG(0,,,,30)")</f>
        <v>4.4973999999999998</v>
      </c>
      <c r="E4" s="47" cm="1">
        <f t="array" ref="E4">_xll.FDS($A4,"FG_PRICE_CHANGE(0,-1AM)")</f>
        <v>-7.5186321788689101</v>
      </c>
      <c r="F4" s="47" cm="1">
        <f t="array" ref="F4">_xll.FDS($A4,"FG_PRICE_CHANGE(0,-3AM)")</f>
        <v>-6.2860950688582804</v>
      </c>
      <c r="G4" s="47" cm="1">
        <f t="array" ref="G4">_xll.FDS($A4,"FG_PRICE_CHANGE(0,-6AM)")</f>
        <v>11.4074465275944</v>
      </c>
      <c r="H4" s="47" cm="1">
        <f t="array" ref="H4">_xll.FDS($A4,"FG_PRICE_CHANGE(0,-1AY)")</f>
        <v>11.040926437689199</v>
      </c>
      <c r="I4" s="47" cm="1">
        <f t="array" ref="I4">_xll.FDS($A4,"FG_PRICE(0)/MAX(FG_PRICE(0,-1AY))")</f>
        <v>0.82418441101777695</v>
      </c>
      <c r="J4" cm="1">
        <f t="array" ref="J4">_xll.FDS($A4,"MAX(FG_PRICE(0,-5AY))")</f>
        <v>5.1189999999999998</v>
      </c>
      <c r="P4" t="s">
        <v>27</v>
      </c>
      <c r="Q4" t="s">
        <v>436</v>
      </c>
      <c r="R4" t="s">
        <v>27</v>
      </c>
      <c r="S4">
        <f>IF(E4&lt;$C$19, -1, IF(E4&gt;$C$20,1,0))</f>
        <v>-1</v>
      </c>
      <c r="T4">
        <f t="shared" ref="T4:T5" si="0">S4</f>
        <v>-1</v>
      </c>
    </row>
    <row r="5" spans="1:20" x14ac:dyDescent="0.35">
      <c r="A5" t="s">
        <v>824</v>
      </c>
      <c r="B5" t="s">
        <v>461</v>
      </c>
      <c r="C5" cm="1">
        <f t="array" ref="C5">_xll.FDS($A5,"FG_PRICE(0)")</f>
        <v>85.86</v>
      </c>
      <c r="D5" cm="1">
        <f t="array" ref="D5">_xll.FDS($A5,"FG_PRICE_MAVG(0,,,,30)")</f>
        <v>85.86</v>
      </c>
      <c r="E5" s="47" cm="1">
        <f t="array" ref="E5">_xll.FDS($A5,"FG_PRICE_CHANGE(0,-1AM)")</f>
        <v>0</v>
      </c>
      <c r="F5" s="47" cm="1">
        <f t="array" ref="F5">_xll.FDS($A5,"FG_PRICE_CHANGE(0,-3AM)")</f>
        <v>0</v>
      </c>
      <c r="G5" s="47" cm="1">
        <f t="array" ref="G5">_xll.FDS($A5,"FG_PRICE_CHANGE(0,-6AM)")</f>
        <v>0</v>
      </c>
      <c r="H5" s="47" cm="1">
        <f t="array" ref="H5">_xll.FDS($A5,"FG_PRICE_CHANGE(0,-1AY)")</f>
        <v>6.8176163224682904</v>
      </c>
      <c r="I5" s="47" cm="1">
        <f t="array" ref="I5">_xll.FDS($A5,"FG_PRICE(0)/MAX(FG_PRICE(0,-1AY))")</f>
        <v>0.87061447982153695</v>
      </c>
      <c r="J5" cm="1">
        <f t="array" ref="J5">_xll.FDS($A5,"MAX(FG_PRICE(0,-5AY))")</f>
        <v>140.85</v>
      </c>
      <c r="P5" t="s">
        <v>35</v>
      </c>
      <c r="Q5" t="s">
        <v>437</v>
      </c>
      <c r="R5" t="s">
        <v>35</v>
      </c>
      <c r="S5">
        <f>IF(E9&lt;$C$19, -1, IF(E9&gt;$C$20,1,0))</f>
        <v>-1</v>
      </c>
      <c r="T5">
        <f t="shared" si="0"/>
        <v>-1</v>
      </c>
    </row>
    <row r="6" spans="1:20" x14ac:dyDescent="0.35">
      <c r="A6" t="s">
        <v>825</v>
      </c>
      <c r="B6" t="s">
        <v>826</v>
      </c>
      <c r="C6" cm="1">
        <f t="array" ref="C6">_xll.FDS($A6,"FG_PRICE(0)")</f>
        <v>5.4275000000000002</v>
      </c>
      <c r="D6" cm="1">
        <f t="array" ref="D6">_xll.FDS($A6,"FG_PRICE_MAVG(0,,,,30)")</f>
        <v>5.6960835000000003</v>
      </c>
      <c r="E6" s="47" cm="1">
        <f t="array" ref="E6">_xll.FDS($A6,"FG_PRICE_CHANGE(0,-1AM)")</f>
        <v>-6.74398625429553</v>
      </c>
      <c r="F6" s="47" cm="1">
        <f t="array" ref="F6">_xll.FDS($A6,"FG_PRICE_CHANGE(0,-3AM)")</f>
        <v>-1.3630168105406599</v>
      </c>
      <c r="G6" s="47" cm="1">
        <f t="array" ref="G6">_xll.FDS($A6,"FG_PRICE_CHANGE(0,-6AM)")</f>
        <v>-8.5124315212810693</v>
      </c>
      <c r="H6" s="47" cm="1">
        <f t="array" ref="H6">_xll.FDS($A6,"FG_PRICE_CHANGE(0,-1AY)")</f>
        <v>-25.420817588457599</v>
      </c>
      <c r="I6" s="47" cm="1">
        <f t="array" ref="I6">_xll.FDS($A6,"FG_PRICE(0)/MAX(FG_PRICE(0,-1AY))")</f>
        <v>0.71390989805984895</v>
      </c>
      <c r="J6" cm="1">
        <f t="array" ref="J6">_xll.FDS($A6,"MAX(FG_PRICE(0,-5AY))")</f>
        <v>14.2525</v>
      </c>
      <c r="P6" t="s">
        <v>30</v>
      </c>
      <c r="Q6" t="s">
        <v>438</v>
      </c>
      <c r="R6" t="s">
        <v>30</v>
      </c>
    </row>
    <row r="7" spans="1:20" x14ac:dyDescent="0.35">
      <c r="A7" t="s">
        <v>827</v>
      </c>
      <c r="B7" t="s">
        <v>828</v>
      </c>
      <c r="C7" cm="1">
        <f t="array" ref="C7">_xll.FDS($A7,"FG_PRICE(0)")</f>
        <v>4013</v>
      </c>
      <c r="D7" cm="1">
        <f t="array" ref="D7">_xll.FDS($A7,"FG_PRICE_MAVG(0,,,,30)")</f>
        <v>3984.0666999999999</v>
      </c>
      <c r="E7" s="47" cm="1">
        <f t="array" ref="E7">_xll.FDS($A7,"FG_PRICE_CHANGE(0,-1AM)")</f>
        <v>1.9304038608077201</v>
      </c>
      <c r="F7" s="47" cm="1">
        <f t="array" ref="F7">_xll.FDS($A7,"FG_PRICE_CHANGE(0,-3AM)")</f>
        <v>-1.0601577909270199</v>
      </c>
      <c r="G7" s="47" cm="1">
        <f t="array" ref="G7">_xll.FDS($A7,"FG_PRICE_CHANGE(0,-6AM)")</f>
        <v>1.28722867238769</v>
      </c>
      <c r="H7" s="47" cm="1">
        <f t="array" ref="H7">_xll.FDS($A7,"FG_PRICE_CHANGE(0,-1AY)")</f>
        <v>4.2066995585562204</v>
      </c>
      <c r="I7" s="47" cm="1">
        <f t="array" ref="I7">_xll.FDS($A7,"FG_PRICE(0)/MAX(FG_PRICE(0,-1AY))")</f>
        <v>0.87639222537672001</v>
      </c>
      <c r="J7" cm="1">
        <f t="array" ref="J7">_xll.FDS($A7,"MAX(FG_PRICE(0,-5AY))")</f>
        <v>8163</v>
      </c>
      <c r="P7" t="s">
        <v>23</v>
      </c>
      <c r="Q7" t="s">
        <v>439</v>
      </c>
      <c r="R7" t="s">
        <v>23</v>
      </c>
    </row>
    <row r="8" spans="1:20" x14ac:dyDescent="0.35">
      <c r="A8" t="s">
        <v>829</v>
      </c>
      <c r="B8" t="s">
        <v>830</v>
      </c>
      <c r="C8" cm="1">
        <f t="array" ref="C8">_xll.FDS($A8,"FG_PRICE(0)")</f>
        <v>1000</v>
      </c>
      <c r="D8" cm="1">
        <f t="array" ref="D8">_xll.FDS($A8,"FG_PRICE_MAVG(0,,,,30)")</f>
        <v>993.53330000000005</v>
      </c>
      <c r="E8" s="47" cm="1">
        <f t="array" ref="E8">_xll.FDS($A8,"FG_PRICE_CHANGE(0,-1AM)")</f>
        <v>3.09278350515463</v>
      </c>
      <c r="F8" s="47" cm="1">
        <f t="array" ref="F8">_xll.FDS($A8,"FG_PRICE_CHANGE(0,-3AM)")</f>
        <v>6.9518716577540198</v>
      </c>
      <c r="G8" s="47" cm="1">
        <f t="array" ref="G8">_xll.FDS($A8,"FG_PRICE_CHANGE(0,-6AM)")</f>
        <v>9.6491228070175499</v>
      </c>
      <c r="H8" s="47" cm="1">
        <f t="array" ref="H8">_xll.FDS($A8,"FG_PRICE_CHANGE(0,-1AY)")</f>
        <v>1.0101010101010199</v>
      </c>
      <c r="I8" s="47" cm="1">
        <f t="array" ref="I8">_xll.FDS($A8,"FG_PRICE(0)/MAX(FG_PRICE(0,-1AY))")</f>
        <v>0.93545369504209497</v>
      </c>
      <c r="J8" cm="1">
        <f t="array" ref="J8">_xll.FDS($A8,"MAX(FG_PRICE(0,-5AY))")</f>
        <v>1272.5899999999999</v>
      </c>
      <c r="P8" t="s">
        <v>29</v>
      </c>
      <c r="Q8" t="s">
        <v>440</v>
      </c>
      <c r="R8" t="s">
        <v>29</v>
      </c>
    </row>
    <row r="9" spans="1:20" x14ac:dyDescent="0.35">
      <c r="A9" t="s">
        <v>831</v>
      </c>
      <c r="B9" t="s">
        <v>832</v>
      </c>
      <c r="C9" cm="1">
        <f t="array" ref="C9">_xll.FDS($A9,"FG_PRICE(0)")</f>
        <v>16105</v>
      </c>
      <c r="D9" cm="1">
        <f t="array" ref="D9">_xll.FDS($A9,"FG_PRICE_MAVG(0,,,,30)")</f>
        <v>17030.5</v>
      </c>
      <c r="E9" s="47" cm="1">
        <f t="array" ref="E9">_xll.FDS($A9,"FG_PRICE_CHANGE(0,-1AM)")</f>
        <v>-5.2089464390818101</v>
      </c>
      <c r="F9" s="47" cm="1">
        <f t="array" ref="F9">_xll.FDS($A9,"FG_PRICE_CHANGE(0,-3AM)")</f>
        <v>-15.4371226043581</v>
      </c>
      <c r="G9" s="47" cm="1">
        <f t="array" ref="G9">_xll.FDS($A9,"FG_PRICE_CHANGE(0,-6AM)")</f>
        <v>1.0668340131785301</v>
      </c>
      <c r="H9" s="47" cm="1">
        <f t="array" ref="H9">_xll.FDS($A9,"FG_PRICE_CHANGE(0,-1AY)")</f>
        <v>-22.198067632850201</v>
      </c>
      <c r="I9" s="47" cm="1">
        <f t="array" ref="I9">_xll.FDS($A9,"FG_PRICE(0)/MAX(FG_PRICE(0,-1AY))")</f>
        <v>0.72042048758666999</v>
      </c>
      <c r="J9" cm="1">
        <f t="array" ref="J9">_xll.FDS($A9,"MAX(FG_PRICE(0,-5AY))")</f>
        <v>48241</v>
      </c>
      <c r="P9" t="s">
        <v>33</v>
      </c>
      <c r="Q9" t="s">
        <v>441</v>
      </c>
      <c r="R9" t="s">
        <v>33</v>
      </c>
      <c r="S9">
        <f>IF(E7&lt;$C$19, -1, IF(E7&gt;$C$20,1,0))</f>
        <v>0</v>
      </c>
      <c r="T9">
        <f t="shared" ref="T9" si="1">S9</f>
        <v>0</v>
      </c>
    </row>
    <row r="10" spans="1:20" x14ac:dyDescent="0.35">
      <c r="A10" t="s">
        <v>833</v>
      </c>
      <c r="B10" t="s">
        <v>834</v>
      </c>
      <c r="C10" cm="1">
        <f t="array" ref="C10">_xll.FDS($A10,"FG_PRICE(0)")</f>
        <v>960</v>
      </c>
      <c r="D10" cm="1">
        <f t="array" ref="D10">_xll.FDS($A10,"FG_PRICE_MAVG(0,,,,30)")</f>
        <v>966.06664999999998</v>
      </c>
      <c r="E10" s="47" cm="1">
        <f t="array" ref="E10">_xll.FDS($A10,"FG_PRICE_CHANGE(0,-1AM)")</f>
        <v>8.4745762711864394</v>
      </c>
      <c r="F10" s="47" cm="1">
        <f t="array" ref="F10">_xll.FDS($A10,"FG_PRICE_CHANGE(0,-3AM)")</f>
        <v>-5.8823529411764701</v>
      </c>
      <c r="G10" s="47" cm="1">
        <f t="array" ref="G10">_xll.FDS($A10,"FG_PRICE_CHANGE(0,-6AM)")</f>
        <v>1.0526315789473699</v>
      </c>
      <c r="H10" s="47" cm="1">
        <f t="array" ref="H10">_xll.FDS($A10,"FG_PRICE_CHANGE(0,-1AY)")</f>
        <v>-27.272727272727298</v>
      </c>
      <c r="I10" s="47" cm="1">
        <f t="array" ref="I10">_xll.FDS($A10,"FG_PRICE(0)/MAX(FG_PRICE(0,-1AY))")</f>
        <v>0.71641791044776104</v>
      </c>
      <c r="J10" cm="1">
        <f t="array" ref="J10">_xll.FDS($A10,"MAX(FG_PRICE(0,-5AY))")</f>
        <v>3158.12</v>
      </c>
      <c r="P10" t="s">
        <v>24</v>
      </c>
      <c r="Q10" t="s">
        <v>40</v>
      </c>
      <c r="R10" t="s">
        <v>24</v>
      </c>
    </row>
    <row r="11" spans="1:20" x14ac:dyDescent="0.35">
      <c r="A11" t="s">
        <v>835</v>
      </c>
      <c r="C11" cm="1">
        <f t="array" ref="C11">_xll.FDS($A11,"FG_PRICE(0)")</f>
        <v>541.20000000000005</v>
      </c>
      <c r="D11" cm="1">
        <f t="array" ref="D11">_xll.FDS($A11,"FG_PRICE_MAVG(0,,,,30)")</f>
        <v>562.11333999999999</v>
      </c>
      <c r="E11" s="47" cm="1">
        <f t="array" ref="E11">_xll.FDS($A11,"FG_PRICE_CHANGE(0,-1AM)")</f>
        <v>-0.98792535675081805</v>
      </c>
      <c r="F11" s="47" cm="1">
        <f t="array" ref="F11">_xll.FDS($A11,"FG_PRICE_CHANGE(0,-3AM)")</f>
        <v>-3.9574090505767399</v>
      </c>
      <c r="G11" s="47" cm="1">
        <f t="array" ref="G11">_xll.FDS($A11,"FG_PRICE_CHANGE(0,-6AM)")</f>
        <v>-18.444846292947599</v>
      </c>
      <c r="H11" s="47" cm="1">
        <f t="array" ref="H11">_xll.FDS($A11,"FG_PRICE_CHANGE(0,-1AY)")</f>
        <v>-19.917135247114501</v>
      </c>
      <c r="I11" s="47" cm="1">
        <f t="array" ref="I11">_xll.FDS($A11,"FG_PRICE(0)/MAX(FG_PRICE(0,-1AY))")</f>
        <v>0.70893371757925105</v>
      </c>
      <c r="J11" cm="1">
        <f t="array" ref="J11">_xll.FDS($A11,"MAX(FG_PRICE(0,-5AY))")</f>
        <v>763.4</v>
      </c>
      <c r="P11" t="s">
        <v>7</v>
      </c>
      <c r="Q11" t="s">
        <v>53</v>
      </c>
      <c r="R11" t="s">
        <v>7</v>
      </c>
    </row>
    <row r="12" spans="1:20" x14ac:dyDescent="0.35">
      <c r="A12" t="s">
        <v>836</v>
      </c>
      <c r="B12" t="s">
        <v>837</v>
      </c>
      <c r="C12" cm="1">
        <f t="array" ref="C12">_xll.FDS($A12,"FG_PRICE(0)")</f>
        <v>0.92</v>
      </c>
      <c r="D12" cm="1">
        <f t="array" ref="D12">_xll.FDS($A12,"FG_PRICE_MAVG(0,,,,30)")</f>
        <v>0.93962480000000004</v>
      </c>
      <c r="E12" s="47" cm="1">
        <f t="array" ref="E12">_xll.FDS($A12,"FG_PRICE_CHANGE(0,-1AM)")</f>
        <v>-2.8560531554782602</v>
      </c>
      <c r="F12" s="47" cm="1">
        <f t="array" ref="F12">_xll.FDS($A12,"FG_PRICE_CHANGE(0,-3AM)")</f>
        <v>-5.1272884483935099</v>
      </c>
      <c r="G12" s="47" cm="1">
        <f t="array" ref="G12">_xll.FDS($A12,"FG_PRICE_CHANGE(0,-6AM)")</f>
        <v>-6.7859711670771299</v>
      </c>
      <c r="H12" s="47" cm="1">
        <f t="array" ref="H12">_xll.FDS($A12,"FG_PRICE_CHANGE(0,-1AY)")</f>
        <v>-6.4125033709300698</v>
      </c>
      <c r="I12" s="47" cm="1">
        <f t="array" ref="I12">_xll.FDS($A12,"FG_PRICE(0)/MAX(FG_PRICE(0,-1AY))")</f>
        <v>0.88461538461538503</v>
      </c>
      <c r="J12" cm="1">
        <f t="array" ref="J12">_xll.FDS($A12,"MAX(FG_PRICE(0,-5AY))")</f>
        <v>3.3053631999999999</v>
      </c>
      <c r="P12" t="s">
        <v>21</v>
      </c>
      <c r="Q12" t="s">
        <v>38</v>
      </c>
      <c r="R12" t="s">
        <v>21</v>
      </c>
    </row>
    <row r="13" spans="1:20" x14ac:dyDescent="0.35">
      <c r="P13" t="s">
        <v>12</v>
      </c>
      <c r="Q13" t="s">
        <v>54</v>
      </c>
      <c r="R13" t="s">
        <v>12</v>
      </c>
      <c r="S13">
        <f>IF(E3&lt;$C$19, -1, IF(E3&gt;$C$20,1,0))</f>
        <v>0</v>
      </c>
      <c r="T13">
        <f t="shared" ref="T13:T23" si="2">S13</f>
        <v>0</v>
      </c>
    </row>
    <row r="14" spans="1:20" x14ac:dyDescent="0.35">
      <c r="P14" t="s">
        <v>22</v>
      </c>
      <c r="Q14" t="s">
        <v>442</v>
      </c>
      <c r="R14" t="s">
        <v>22</v>
      </c>
      <c r="S14" t="str">
        <f>IF(E8&lt;$C$19, -1, "")</f>
        <v/>
      </c>
      <c r="T14" t="str">
        <f t="shared" si="2"/>
        <v/>
      </c>
    </row>
    <row r="15" spans="1:20" x14ac:dyDescent="0.35">
      <c r="P15" t="s">
        <v>28</v>
      </c>
      <c r="Q15" t="s">
        <v>443</v>
      </c>
      <c r="R15" t="s">
        <v>28</v>
      </c>
    </row>
    <row r="16" spans="1:20" x14ac:dyDescent="0.35">
      <c r="P16" t="s">
        <v>32</v>
      </c>
      <c r="Q16" t="s">
        <v>52</v>
      </c>
      <c r="R16" t="s">
        <v>32</v>
      </c>
      <c r="S16" s="1">
        <f>IF(E5&lt;$C$19, -1, IF(E5&gt;$C$20,1,0))</f>
        <v>0</v>
      </c>
      <c r="T16">
        <f t="shared" si="2"/>
        <v>0</v>
      </c>
    </row>
    <row r="17" spans="2:20" x14ac:dyDescent="0.35">
      <c r="P17" t="s">
        <v>26</v>
      </c>
      <c r="Q17" t="s">
        <v>41</v>
      </c>
      <c r="R17" t="s">
        <v>26</v>
      </c>
    </row>
    <row r="18" spans="2:20" x14ac:dyDescent="0.35">
      <c r="P18" t="s">
        <v>31</v>
      </c>
      <c r="Q18" t="s">
        <v>444</v>
      </c>
      <c r="R18" t="s">
        <v>31</v>
      </c>
    </row>
    <row r="19" spans="2:20" x14ac:dyDescent="0.35">
      <c r="B19" t="s">
        <v>839</v>
      </c>
      <c r="C19" s="56">
        <v>-5</v>
      </c>
      <c r="P19" s="1" t="s">
        <v>757</v>
      </c>
      <c r="Q19" s="1" t="s">
        <v>758</v>
      </c>
      <c r="R19" s="1" t="s">
        <v>757</v>
      </c>
    </row>
    <row r="20" spans="2:20" x14ac:dyDescent="0.35">
      <c r="B20" t="s">
        <v>840</v>
      </c>
      <c r="C20" s="56">
        <v>10</v>
      </c>
      <c r="P20" t="s">
        <v>25</v>
      </c>
      <c r="Q20" t="s">
        <v>446</v>
      </c>
      <c r="R20" t="s">
        <v>25</v>
      </c>
    </row>
    <row r="21" spans="2:20" x14ac:dyDescent="0.35">
      <c r="P21" t="s">
        <v>34</v>
      </c>
      <c r="Q21" t="s">
        <v>447</v>
      </c>
      <c r="R21" t="s">
        <v>34</v>
      </c>
      <c r="S21" s="1"/>
    </row>
    <row r="22" spans="2:20" x14ac:dyDescent="0.35">
      <c r="P22" t="s">
        <v>37</v>
      </c>
      <c r="Q22" t="s">
        <v>448</v>
      </c>
      <c r="R22" t="s">
        <v>37</v>
      </c>
    </row>
    <row r="23" spans="2:20" x14ac:dyDescent="0.35">
      <c r="P23" t="s">
        <v>36</v>
      </c>
      <c r="Q23" t="s">
        <v>449</v>
      </c>
      <c r="R23" t="s">
        <v>36</v>
      </c>
      <c r="S23" s="1">
        <f>IF(E5&lt;$C$19, -1, IF(E12&gt;$C$20,1,0))</f>
        <v>0</v>
      </c>
      <c r="T23">
        <f t="shared" si="2"/>
        <v>0</v>
      </c>
    </row>
    <row r="24" spans="2:20" x14ac:dyDescent="0.35">
      <c r="P24" t="s">
        <v>433</v>
      </c>
      <c r="Q24" t="s">
        <v>450</v>
      </c>
      <c r="R24" t="s">
        <v>433</v>
      </c>
    </row>
    <row r="25" spans="2:20" x14ac:dyDescent="0.35">
      <c r="P25" t="s">
        <v>44</v>
      </c>
      <c r="Q25" t="s">
        <v>45</v>
      </c>
      <c r="R25" t="s">
        <v>44</v>
      </c>
    </row>
    <row r="26" spans="2:20" x14ac:dyDescent="0.35">
      <c r="P26" t="s">
        <v>49</v>
      </c>
      <c r="Q26" t="s">
        <v>50</v>
      </c>
      <c r="R26" t="s">
        <v>49</v>
      </c>
    </row>
    <row r="27" spans="2:20" x14ac:dyDescent="0.35">
      <c r="P27" t="s">
        <v>11</v>
      </c>
      <c r="Q27" t="s">
        <v>39</v>
      </c>
      <c r="R27" t="s">
        <v>11</v>
      </c>
    </row>
    <row r="28" spans="2:20" x14ac:dyDescent="0.35">
      <c r="P28" t="s">
        <v>46</v>
      </c>
      <c r="Q28" t="s">
        <v>47</v>
      </c>
      <c r="R28" t="s">
        <v>46</v>
      </c>
    </row>
    <row r="29" spans="2:20" x14ac:dyDescent="0.35">
      <c r="P29" t="s">
        <v>42</v>
      </c>
      <c r="Q29" t="s">
        <v>43</v>
      </c>
      <c r="R29" t="s">
        <v>42</v>
      </c>
    </row>
    <row r="30" spans="2:20" x14ac:dyDescent="0.35">
      <c r="P30" t="s">
        <v>48</v>
      </c>
      <c r="Q30" t="s">
        <v>451</v>
      </c>
      <c r="R30" t="s">
        <v>48</v>
      </c>
    </row>
    <row r="31" spans="2:20" x14ac:dyDescent="0.35">
      <c r="P31" t="s">
        <v>51</v>
      </c>
      <c r="Q31" t="s">
        <v>452</v>
      </c>
      <c r="R31" t="s">
        <v>51</v>
      </c>
    </row>
    <row r="32" spans="2:20" x14ac:dyDescent="0.35">
      <c r="P32" t="s">
        <v>1</v>
      </c>
      <c r="Q32" t="s">
        <v>1</v>
      </c>
      <c r="R32" t="s">
        <v>1</v>
      </c>
    </row>
  </sheetData>
  <conditionalFormatting sqref="T3:T32">
    <cfRule type="iconSet" priority="1">
      <iconSet iconSet="3Arrows" showValue="0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88EF2-E064-42F1-B93C-9765F64DD753}">
  <dimension ref="A1:AK127"/>
  <sheetViews>
    <sheetView workbookViewId="0">
      <selection activeCell="X12" sqref="X12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22" x14ac:dyDescent="0.35">
      <c r="B1" t="s">
        <v>432</v>
      </c>
      <c r="C1" t="s">
        <v>27</v>
      </c>
      <c r="D1" t="s">
        <v>35</v>
      </c>
      <c r="E1" t="s">
        <v>30</v>
      </c>
      <c r="F1" t="s">
        <v>23</v>
      </c>
      <c r="G1" t="s">
        <v>29</v>
      </c>
      <c r="H1" t="s">
        <v>33</v>
      </c>
      <c r="I1" t="s">
        <v>24</v>
      </c>
      <c r="J1" t="s">
        <v>7</v>
      </c>
      <c r="K1" t="s">
        <v>21</v>
      </c>
      <c r="L1" t="s">
        <v>12</v>
      </c>
      <c r="M1" t="s">
        <v>22</v>
      </c>
      <c r="N1" t="s">
        <v>28</v>
      </c>
      <c r="O1" t="s">
        <v>32</v>
      </c>
      <c r="P1" t="s">
        <v>26</v>
      </c>
      <c r="Q1" t="s">
        <v>31</v>
      </c>
      <c r="R1" t="s">
        <v>757</v>
      </c>
      <c r="S1" t="s">
        <v>25</v>
      </c>
      <c r="T1" t="s">
        <v>34</v>
      </c>
      <c r="U1" t="s">
        <v>37</v>
      </c>
      <c r="V1" t="s">
        <v>36</v>
      </c>
    </row>
    <row r="2" spans="1:22" x14ac:dyDescent="0.35">
      <c r="A2" s="2" cm="1">
        <f t="array" ref="A2:A122">_xll.FDS(C1,"JULIAN(FMA_DIV_YLD(LTMA,-10AY,0,AM,""PORTAGG"",""MEANR"").dates)")</f>
        <v>41838</v>
      </c>
      <c r="B2" s="3" t="e" cm="1">
        <f t="array" ref="B2:B122">_xll.FDS(B1,"FMA_PE(LTMA,-10AY,0,AM,""PORTAGG"",""MEANR"")")</f>
        <v>#N/A</v>
      </c>
      <c r="C2" s="3" cm="1">
        <f t="array" ref="C2:C122">_xll.FDS(C1,"FMA_PE(LTMA,-10AY,0,AM,""PORTAGG"",""MEANR"")")</f>
        <v>16.242957989075599</v>
      </c>
      <c r="D2" s="3" cm="1">
        <f t="array" ref="D2:D122">_xll.FDS(D1,"FMA_PE(LTMA,-10AY,0,AM,""PORTAGG"",""MEANR"")")</f>
        <v>15.800875344148899</v>
      </c>
      <c r="E2" s="3" cm="1">
        <f t="array" ref="E2:E122">_xll.FDS(E1,"FMA_PE(LTMA,-10AY,0,AM,""PORTAGG"",""MEANR"")")</f>
        <v>19.229123643533299</v>
      </c>
      <c r="F2" s="3" cm="1">
        <f t="array" ref="F2:F122">_xll.FDS(F1,"FMA_PE(LTMA,-10AY,0,AM,""PORTAGG"",""MEANR"")")</f>
        <v>14.7440601397061</v>
      </c>
      <c r="G2" s="3" cm="1">
        <f t="array" ref="G2:G122">_xll.FDS(G1,"FMA_PE(LTMA,-10AY,0,AM,""PORTAGG"",""MEANR"")")</f>
        <v>15.8289665684879</v>
      </c>
      <c r="H2" s="3" cm="1">
        <f t="array" ref="H2:H122">_xll.FDS(H1,"FMA_PE(LTMA,-10AY,0,AM,""PORTAGG"",""MEANR"")")</f>
        <v>16.676940192644601</v>
      </c>
      <c r="I2" s="3" cm="1">
        <f t="array" ref="I2:I122">_xll.FDS(I1,"FMA_PE(LTMA,-10AY,0,AM,""PORTAGG"",""MEANR"")")</f>
        <v>15.3465668149565</v>
      </c>
      <c r="J2" s="3" t="e" cm="1">
        <f t="array" ref="J2:J122">_xll.FDS(J1,"FMA_PE(LTMA,-10AY,0,AM,""PORTAGG"",""MEANR"")")</f>
        <v>#N/A</v>
      </c>
      <c r="K2" s="3" cm="1">
        <f t="array" ref="K2:K122">_xll.FDS(K1,"FMA_PE(LTMA,-10AY,0,AM,""PORTAGG"",""MEANR"")")</f>
        <v>11.3425931785643</v>
      </c>
      <c r="L2" s="3" cm="1">
        <f t="array" ref="L2:L122">_xll.FDS(L1,"FMA_PE(LTMA,-10AY,0,AM,""PORTAGG"",""MEANR"")")</f>
        <v>12.138308886773499</v>
      </c>
      <c r="M2" s="3" cm="1">
        <f t="array" ref="M2:M122">_xll.FDS(M1,"FMA_PE(LTMA,-10AY,0,AM,""PORTAGG"",""MEANR"")")</f>
        <v>16.044424844680599</v>
      </c>
      <c r="N2" s="3" cm="1">
        <f t="array" ref="N2:N122">_xll.FDS(N1,"FMA_PE(LTMA,-10AY,0,AM,""PORTAGG"",""MEANR"")")</f>
        <v>23.757229799218301</v>
      </c>
      <c r="O2" s="3" cm="1">
        <f t="array" ref="O2:O122">_xll.FDS(O1,"FMA_PE(LTMA,-10AY,0,AM,""PORTAGG"",""MEANR"")")</f>
        <v>17.2273349734471</v>
      </c>
      <c r="P2" s="3" cm="1">
        <f t="array" ref="P2:P122">_xll.FDS(P1,"FMA_PE(LTMA,-10AY,0,AM,""PORTAGG"",""MEANR"")")</f>
        <v>9.4602281876346499</v>
      </c>
      <c r="Q2" s="3" t="e" cm="1">
        <f t="array" ref="Q2:Q122">_xll.FDS(Q1,"FMA_PE(LTMA,-10AY,0,AM,""PORTAGG"",""MEANR"")")</f>
        <v>#N/A</v>
      </c>
      <c r="R2" s="3" cm="1">
        <f t="array" ref="R2:R122">_xll.FDS(R1,"FMA_PE(LTMA,-10AY,0,AM,""PORTAGG"",""MEANR"")")</f>
        <v>17.8428623143955</v>
      </c>
      <c r="S2" s="3" cm="1">
        <f t="array" ref="S2:S122">_xll.FDS(S1,"FMA_PE(LTMA,-10AY,0,AM,""PORTAGG"",""MEANR"")")</f>
        <v>10.7556040256946</v>
      </c>
      <c r="T2" s="3" t="e" cm="1">
        <f t="array" ref="T2:T122">_xll.FDS(T1,"FMA_PE(LTMA,-10AY,0,AM,""PORTAGG"",""MEANR"")")</f>
        <v>#N/A</v>
      </c>
      <c r="U2" s="3" cm="1">
        <f t="array" ref="U2:U122">_xll.FDS(U1,"FMA_PE(LTMA,-10AY,0,AM,""PORTAGG"",""MEANR"")")</f>
        <v>12.7350877746414</v>
      </c>
      <c r="V2" s="3" t="e" cm="1">
        <f t="array" ref="V2:V122">_xll.FDS(V1,"FMA_PE(LTMA,-10AY,0,AM,""PORTAGG"",""MEANR"")")</f>
        <v>#N/A</v>
      </c>
    </row>
    <row r="3" spans="1:22" x14ac:dyDescent="0.35">
      <c r="A3" s="2">
        <v>41870</v>
      </c>
      <c r="B3" s="3" t="e">
        <v>#N/A</v>
      </c>
      <c r="C3" s="3">
        <v>16.4460020510436</v>
      </c>
      <c r="D3" s="3">
        <v>15.935858039444399</v>
      </c>
      <c r="E3" s="3">
        <v>19.570168591138899</v>
      </c>
      <c r="F3" s="3">
        <v>14.9499763168774</v>
      </c>
      <c r="G3" s="3">
        <v>15.6583464440042</v>
      </c>
      <c r="H3" s="3">
        <v>16.7633860533298</v>
      </c>
      <c r="I3" s="3">
        <v>14.995026878363101</v>
      </c>
      <c r="J3" s="3" t="e">
        <v>#N/A</v>
      </c>
      <c r="K3" s="3">
        <v>11.6470257680185</v>
      </c>
      <c r="L3" s="3">
        <v>12.631242950193201</v>
      </c>
      <c r="M3" s="3">
        <v>16.344396997323202</v>
      </c>
      <c r="N3" s="3">
        <v>21.320443578294999</v>
      </c>
      <c r="O3" s="3">
        <v>17.610699197051598</v>
      </c>
      <c r="P3" s="3">
        <v>9.7771041621089996</v>
      </c>
      <c r="Q3" s="3" t="e">
        <v>#N/A</v>
      </c>
      <c r="R3" s="3">
        <v>18.8126996627098</v>
      </c>
      <c r="S3" s="3">
        <v>10.580693890031601</v>
      </c>
      <c r="T3" s="3" t="e">
        <v>#N/A</v>
      </c>
      <c r="U3" s="3">
        <v>12.9636367615865</v>
      </c>
      <c r="V3" s="3" t="e">
        <v>#N/A</v>
      </c>
    </row>
    <row r="4" spans="1:22" x14ac:dyDescent="0.35">
      <c r="A4" s="2">
        <v>41901</v>
      </c>
      <c r="B4" s="3" t="e">
        <v>#N/A</v>
      </c>
      <c r="C4" s="3">
        <v>16.572987779319298</v>
      </c>
      <c r="D4" s="3">
        <v>16.031712897610799</v>
      </c>
      <c r="E4" s="3">
        <v>19.9696189953459</v>
      </c>
      <c r="F4" s="3">
        <v>14.910722360527201</v>
      </c>
      <c r="G4" s="3">
        <v>15.587888750837299</v>
      </c>
      <c r="H4" s="3">
        <v>16.7825669906832</v>
      </c>
      <c r="I4" s="3">
        <v>14.733037986913599</v>
      </c>
      <c r="J4" s="3" t="e">
        <v>#N/A</v>
      </c>
      <c r="K4" s="3">
        <v>11.640039962598401</v>
      </c>
      <c r="L4" s="3">
        <v>12.628251615312699</v>
      </c>
      <c r="M4" s="3">
        <v>16.476118758523199</v>
      </c>
      <c r="N4" s="3">
        <v>19.6748753282309</v>
      </c>
      <c r="O4" s="3">
        <v>18.047880318359599</v>
      </c>
      <c r="P4" s="3">
        <v>9.5922130040095492</v>
      </c>
      <c r="Q4" s="3" t="e">
        <v>#N/A</v>
      </c>
      <c r="R4" s="3">
        <v>19.226541633129301</v>
      </c>
      <c r="S4" s="3">
        <v>10.476146482784999</v>
      </c>
      <c r="T4" s="3" t="e">
        <v>#N/A</v>
      </c>
      <c r="U4" s="3">
        <v>12.9922012910913</v>
      </c>
      <c r="V4" s="3" t="e">
        <v>#N/A</v>
      </c>
    </row>
    <row r="5" spans="1:22" x14ac:dyDescent="0.35">
      <c r="A5" s="2">
        <v>41929</v>
      </c>
      <c r="B5" s="3" t="e">
        <v>#N/A</v>
      </c>
      <c r="C5" s="3">
        <v>15.9503131629912</v>
      </c>
      <c r="D5" s="3">
        <v>15.896663151606001</v>
      </c>
      <c r="E5" s="3">
        <v>19.254080012890402</v>
      </c>
      <c r="F5" s="3">
        <v>14.505702684570799</v>
      </c>
      <c r="G5" s="3">
        <v>14.2496344830412</v>
      </c>
      <c r="H5" s="3">
        <v>16.322044448657699</v>
      </c>
      <c r="I5" s="3">
        <v>13.7068439159322</v>
      </c>
      <c r="J5" s="3" t="e">
        <v>#N/A</v>
      </c>
      <c r="K5" s="3">
        <v>10.8848598806712</v>
      </c>
      <c r="L5" s="3">
        <v>12.6410730960707</v>
      </c>
      <c r="M5" s="3">
        <v>15.917385016722699</v>
      </c>
      <c r="N5" s="3">
        <v>17.248382338728799</v>
      </c>
      <c r="O5" s="3">
        <v>17.6018228981549</v>
      </c>
      <c r="P5" s="3">
        <v>9.1762503797382902</v>
      </c>
      <c r="Q5" s="3" t="e">
        <v>#N/A</v>
      </c>
      <c r="R5" s="3">
        <v>18.720754953807599</v>
      </c>
      <c r="S5" s="3">
        <v>10.400408772012501</v>
      </c>
      <c r="T5" s="3" t="e">
        <v>#N/A</v>
      </c>
      <c r="U5" s="3">
        <v>12.956860779229199</v>
      </c>
      <c r="V5" s="3" t="e">
        <v>#N/A</v>
      </c>
    </row>
    <row r="6" spans="1:22" x14ac:dyDescent="0.35">
      <c r="A6" s="2">
        <v>41962</v>
      </c>
      <c r="B6" s="3" t="e">
        <v>#N/A</v>
      </c>
      <c r="C6" s="3">
        <v>16.6390311576383</v>
      </c>
      <c r="D6" s="3">
        <v>16.203283581529501</v>
      </c>
      <c r="E6" s="3">
        <v>20.1056741348972</v>
      </c>
      <c r="F6" s="3">
        <v>14.596634373345299</v>
      </c>
      <c r="G6" s="3">
        <v>14.0068773952322</v>
      </c>
      <c r="H6" s="3">
        <v>16.546212412817599</v>
      </c>
      <c r="I6" s="3">
        <v>14.0130668770047</v>
      </c>
      <c r="J6" s="3" t="e">
        <v>#N/A</v>
      </c>
      <c r="K6" s="3">
        <v>11.583010711939901</v>
      </c>
      <c r="L6" s="3">
        <v>12.5736410860432</v>
      </c>
      <c r="M6" s="3">
        <v>16.681495284151001</v>
      </c>
      <c r="N6" s="3">
        <v>17.3625279440245</v>
      </c>
      <c r="O6" s="3">
        <v>19.180377934908002</v>
      </c>
      <c r="P6" s="3">
        <v>9.3616914367871793</v>
      </c>
      <c r="Q6" s="3" t="e">
        <v>#N/A</v>
      </c>
      <c r="R6" s="3">
        <v>19.802436230109301</v>
      </c>
      <c r="S6" s="3">
        <v>11.198411661016999</v>
      </c>
      <c r="T6" s="3" t="e">
        <v>#N/A</v>
      </c>
      <c r="U6" s="3">
        <v>12.773346408257501</v>
      </c>
      <c r="V6" s="3" t="e">
        <v>#N/A</v>
      </c>
    </row>
    <row r="7" spans="1:22" x14ac:dyDescent="0.35">
      <c r="A7" s="2">
        <v>41992</v>
      </c>
      <c r="B7" s="3" t="e">
        <v>#N/A</v>
      </c>
      <c r="C7" s="3">
        <v>16.524193526068601</v>
      </c>
      <c r="D7" s="3">
        <v>16.724870239072601</v>
      </c>
      <c r="E7" s="3">
        <v>19.696523105640601</v>
      </c>
      <c r="F7" s="3">
        <v>14.3345629718459</v>
      </c>
      <c r="G7" s="3">
        <v>14.0604307432202</v>
      </c>
      <c r="H7" s="3">
        <v>15.973162258436901</v>
      </c>
      <c r="I7" s="3">
        <v>13.637068886328199</v>
      </c>
      <c r="J7" s="3" t="e">
        <v>#N/A</v>
      </c>
      <c r="K7" s="3">
        <v>11.5232364733354</v>
      </c>
      <c r="L7" s="3">
        <v>12.2223398167675</v>
      </c>
      <c r="M7" s="3">
        <v>16.817126032814301</v>
      </c>
      <c r="N7" s="3">
        <v>17.705861901035199</v>
      </c>
      <c r="O7" s="3">
        <v>19.0013876336942</v>
      </c>
      <c r="P7" s="3">
        <v>9.8161303292118909</v>
      </c>
      <c r="Q7" s="3" t="e">
        <v>#N/A</v>
      </c>
      <c r="R7" s="3">
        <v>19.385397364575098</v>
      </c>
      <c r="S7" s="3">
        <v>11.4919765673879</v>
      </c>
      <c r="T7" s="3" t="e">
        <v>#N/A</v>
      </c>
      <c r="U7" s="3">
        <v>12.250981185091</v>
      </c>
      <c r="V7" s="3" t="e">
        <v>#N/A</v>
      </c>
    </row>
    <row r="8" spans="1:22" x14ac:dyDescent="0.35">
      <c r="A8" s="2">
        <v>42020</v>
      </c>
      <c r="B8" s="3" t="e">
        <v>#N/A</v>
      </c>
      <c r="C8" s="3">
        <v>15.8195303560521</v>
      </c>
      <c r="D8" s="3">
        <v>16.669062080028301</v>
      </c>
      <c r="E8" s="3">
        <v>20.533192341018601</v>
      </c>
      <c r="F8" s="3">
        <v>14.0318595025236</v>
      </c>
      <c r="G8" s="3">
        <v>14.969922229734999</v>
      </c>
      <c r="H8" s="3">
        <v>16.1723007875636</v>
      </c>
      <c r="I8" s="3">
        <v>13.7528343719015</v>
      </c>
      <c r="J8" s="3" t="e">
        <v>#N/A</v>
      </c>
      <c r="K8" s="3">
        <v>11.228723121578801</v>
      </c>
      <c r="L8" s="3">
        <v>12.264839680193599</v>
      </c>
      <c r="M8" s="3">
        <v>16.9922138724151</v>
      </c>
      <c r="N8" s="3">
        <v>12.640628831803999</v>
      </c>
      <c r="O8" s="3">
        <v>19.8716776123964</v>
      </c>
      <c r="P8" s="3">
        <v>10.4351891737562</v>
      </c>
      <c r="Q8" s="3">
        <v>14.614131599533801</v>
      </c>
      <c r="R8" s="3">
        <v>19.875605281635799</v>
      </c>
      <c r="S8" s="3">
        <v>12.136907312156101</v>
      </c>
      <c r="T8" s="3">
        <v>12.1380216727148</v>
      </c>
      <c r="U8" s="3">
        <v>12.450910878161601</v>
      </c>
      <c r="V8" s="3" t="e">
        <v>#N/A</v>
      </c>
    </row>
    <row r="9" spans="1:22" x14ac:dyDescent="0.35">
      <c r="A9" s="2">
        <v>42054</v>
      </c>
      <c r="B9" s="3" t="e">
        <v>#N/A</v>
      </c>
      <c r="C9" s="3">
        <v>16.822506973525201</v>
      </c>
      <c r="D9" s="3">
        <v>17.735246457916102</v>
      </c>
      <c r="E9" s="3">
        <v>21.120013574113699</v>
      </c>
      <c r="F9" s="3">
        <v>19.042194967472099</v>
      </c>
      <c r="G9" s="3">
        <v>16.4554103061676</v>
      </c>
      <c r="H9" s="3">
        <v>16.560314860873898</v>
      </c>
      <c r="I9" s="3">
        <v>14.278342166185899</v>
      </c>
      <c r="J9" s="3" t="e">
        <v>#N/A</v>
      </c>
      <c r="K9" s="3">
        <v>12.2930934275058</v>
      </c>
      <c r="L9" s="3">
        <v>12.7821466116394</v>
      </c>
      <c r="M9" s="3">
        <v>18.301341384208101</v>
      </c>
      <c r="N9" s="3">
        <v>15.357377937407</v>
      </c>
      <c r="O9" s="3">
        <v>21.2466840027827</v>
      </c>
      <c r="P9" s="3">
        <v>10.752667472974199</v>
      </c>
      <c r="Q9" s="3">
        <v>15.141652399676</v>
      </c>
      <c r="R9" s="3">
        <v>22.5277258260293</v>
      </c>
      <c r="S9" s="3">
        <v>12.2499957171694</v>
      </c>
      <c r="T9" s="3">
        <v>12.730088029688799</v>
      </c>
      <c r="U9" s="3">
        <v>12.9716865003012</v>
      </c>
      <c r="V9" s="3" t="e">
        <v>#N/A</v>
      </c>
    </row>
    <row r="10" spans="1:22" x14ac:dyDescent="0.35">
      <c r="A10" s="2">
        <v>42082</v>
      </c>
      <c r="B10" s="3" t="e">
        <v>#N/A</v>
      </c>
      <c r="C10" s="3">
        <v>16.4436027402032</v>
      </c>
      <c r="D10" s="3">
        <v>17.9199896403371</v>
      </c>
      <c r="E10" s="3">
        <v>20.938131374561301</v>
      </c>
      <c r="F10" s="3">
        <v>20.074903137583501</v>
      </c>
      <c r="G10" s="3">
        <v>16.105671838559498</v>
      </c>
      <c r="H10" s="3">
        <v>17.021712146915998</v>
      </c>
      <c r="I10" s="3">
        <v>14.2866893139286</v>
      </c>
      <c r="J10" s="3" t="e">
        <v>#N/A</v>
      </c>
      <c r="K10" s="3">
        <v>12.195856129189099</v>
      </c>
      <c r="L10" s="3">
        <v>12.9918405810878</v>
      </c>
      <c r="M10" s="3">
        <v>18.4000489646833</v>
      </c>
      <c r="N10" s="3">
        <v>17.272525523119899</v>
      </c>
      <c r="O10" s="3">
        <v>20.867694195368401</v>
      </c>
      <c r="P10" s="3">
        <v>10.813759114262099</v>
      </c>
      <c r="Q10" s="3">
        <v>14.8074823867044</v>
      </c>
      <c r="R10" s="3">
        <v>23.123917431161299</v>
      </c>
      <c r="S10" s="3">
        <v>11.7914284967203</v>
      </c>
      <c r="T10" s="3">
        <v>12.875896543311899</v>
      </c>
      <c r="U10" s="3">
        <v>16.684866910908902</v>
      </c>
      <c r="V10" s="3" t="e">
        <v>#N/A</v>
      </c>
    </row>
    <row r="11" spans="1:22" x14ac:dyDescent="0.35">
      <c r="A11" s="2">
        <v>42111</v>
      </c>
      <c r="B11" s="3" t="e">
        <v>#N/A</v>
      </c>
      <c r="C11" s="3">
        <v>16.4125894930093</v>
      </c>
      <c r="D11" s="3">
        <v>17.8008324346129</v>
      </c>
      <c r="E11" s="3">
        <v>20.815066610095201</v>
      </c>
      <c r="F11" s="3">
        <v>19.743281729631398</v>
      </c>
      <c r="G11" s="3">
        <v>15.6339653039638</v>
      </c>
      <c r="H11" s="3">
        <v>17.0357761151195</v>
      </c>
      <c r="I11" s="3">
        <v>14.080254934571901</v>
      </c>
      <c r="J11" s="3" t="e">
        <v>#N/A</v>
      </c>
      <c r="K11" s="3">
        <v>12.089302164924399</v>
      </c>
      <c r="L11" s="3">
        <v>13.4619768717145</v>
      </c>
      <c r="M11" s="3">
        <v>18.550834578130601</v>
      </c>
      <c r="N11" s="3">
        <v>16.2725125263857</v>
      </c>
      <c r="O11" s="3">
        <v>20.6955042195641</v>
      </c>
      <c r="P11" s="3">
        <v>11.430391328835601</v>
      </c>
      <c r="Q11" s="3">
        <v>14.7892368614645</v>
      </c>
      <c r="R11" s="3">
        <v>22.529725885476999</v>
      </c>
      <c r="S11" s="3">
        <v>11.6942712353265</v>
      </c>
      <c r="T11" s="3">
        <v>13.4955075964412</v>
      </c>
      <c r="U11" s="3">
        <v>16.7860826239706</v>
      </c>
      <c r="V11" s="3" t="e">
        <v>#N/A</v>
      </c>
    </row>
    <row r="12" spans="1:22" x14ac:dyDescent="0.35">
      <c r="A12" s="2">
        <v>42143</v>
      </c>
      <c r="B12" s="3" t="e">
        <v>#N/A</v>
      </c>
      <c r="C12" s="3">
        <v>16.424463674915899</v>
      </c>
      <c r="D12" s="3">
        <v>17.5397437765244</v>
      </c>
      <c r="E12" s="3">
        <v>20.627084010102799</v>
      </c>
      <c r="F12" s="3">
        <v>19.1107079070092</v>
      </c>
      <c r="G12" s="3">
        <v>15.5242360107128</v>
      </c>
      <c r="H12" s="3">
        <v>16.892203772770301</v>
      </c>
      <c r="I12" s="3">
        <v>14.0908296252009</v>
      </c>
      <c r="J12" s="3" t="e">
        <v>#N/A</v>
      </c>
      <c r="K12" s="3">
        <v>11.744554643566</v>
      </c>
      <c r="L12" s="3">
        <v>13.821054789422799</v>
      </c>
      <c r="M12" s="3">
        <v>18.456311824048498</v>
      </c>
      <c r="N12" s="3">
        <v>15.079251586925899</v>
      </c>
      <c r="O12" s="3">
        <v>20.382309650114401</v>
      </c>
      <c r="P12" s="3">
        <v>11.535132182947899</v>
      </c>
      <c r="Q12" s="3">
        <v>14.800746305453499</v>
      </c>
      <c r="R12" s="3">
        <v>21.992273783949798</v>
      </c>
      <c r="S12" s="3">
        <v>11.9580125903696</v>
      </c>
      <c r="T12" s="3">
        <v>13.833228797737901</v>
      </c>
      <c r="U12" s="3">
        <v>16.367045822776699</v>
      </c>
      <c r="V12" s="3" t="e">
        <v>#N/A</v>
      </c>
    </row>
    <row r="13" spans="1:22" x14ac:dyDescent="0.35">
      <c r="A13" s="2">
        <v>42174</v>
      </c>
      <c r="B13" s="3" t="e">
        <v>#N/A</v>
      </c>
      <c r="C13" s="3">
        <v>16.018123582295701</v>
      </c>
      <c r="D13" s="3">
        <v>17.1203405899297</v>
      </c>
      <c r="E13" s="3">
        <v>20.187559555521599</v>
      </c>
      <c r="F13" s="3">
        <v>17.8138263905489</v>
      </c>
      <c r="G13" s="3">
        <v>16.2813490407163</v>
      </c>
      <c r="H13" s="3">
        <v>16.6167606658179</v>
      </c>
      <c r="I13" s="3">
        <v>13.768970606943601</v>
      </c>
      <c r="J13" s="3" t="e">
        <v>#N/A</v>
      </c>
      <c r="K13" s="3">
        <v>11.346596705363</v>
      </c>
      <c r="L13" s="3">
        <v>13.918773181178199</v>
      </c>
      <c r="M13" s="3">
        <v>17.919311021261201</v>
      </c>
      <c r="N13" s="3">
        <v>14.053941881179799</v>
      </c>
      <c r="O13" s="3">
        <v>20.217809197301701</v>
      </c>
      <c r="P13" s="3">
        <v>11.2501196025121</v>
      </c>
      <c r="Q13" s="3">
        <v>14.5129146806712</v>
      </c>
      <c r="R13" s="3">
        <v>21.161605674087699</v>
      </c>
      <c r="S13" s="3">
        <v>11.589226663328899</v>
      </c>
      <c r="T13" s="3">
        <v>13.484901024235</v>
      </c>
      <c r="U13" s="3">
        <v>16.698046522392101</v>
      </c>
      <c r="V13" s="3" t="e">
        <v>#N/A</v>
      </c>
    </row>
    <row r="14" spans="1:22" x14ac:dyDescent="0.35">
      <c r="A14" s="2">
        <v>42202</v>
      </c>
      <c r="B14" s="3" t="e">
        <v>#N/A</v>
      </c>
      <c r="C14" s="3">
        <v>15.4629178595361</v>
      </c>
      <c r="D14" s="3">
        <v>16.826858367597801</v>
      </c>
      <c r="E14" s="3">
        <v>20.149056632740599</v>
      </c>
      <c r="F14" s="3">
        <v>17.175814781949502</v>
      </c>
      <c r="G14" s="3">
        <v>15.7159337579577</v>
      </c>
      <c r="H14" s="3">
        <v>16.6086089496158</v>
      </c>
      <c r="I14" s="3">
        <v>13.525806646195701</v>
      </c>
      <c r="J14" s="3" t="e">
        <v>#N/A</v>
      </c>
      <c r="K14" s="3">
        <v>11.180160804213401</v>
      </c>
      <c r="L14" s="3">
        <v>13.698523966632299</v>
      </c>
      <c r="M14" s="3">
        <v>18.0801305476325</v>
      </c>
      <c r="N14" s="3">
        <v>13.0432561795631</v>
      </c>
      <c r="O14" s="3">
        <v>21.023027954658598</v>
      </c>
      <c r="P14" s="3">
        <v>10.774844999206699</v>
      </c>
      <c r="Q14" s="3">
        <v>14.653096465998001</v>
      </c>
      <c r="R14" s="3">
        <v>20.697231456152899</v>
      </c>
      <c r="S14" s="3">
        <v>11.499649679506399</v>
      </c>
      <c r="T14" s="3">
        <v>13.6470482098043</v>
      </c>
      <c r="U14" s="3">
        <v>17.2759789066297</v>
      </c>
      <c r="V14" s="3" t="e">
        <v>#N/A</v>
      </c>
    </row>
    <row r="15" spans="1:22" x14ac:dyDescent="0.35">
      <c r="A15" s="2">
        <v>42235</v>
      </c>
      <c r="B15" s="3" t="e">
        <v>#N/A</v>
      </c>
      <c r="C15" s="3">
        <v>15.1854942233897</v>
      </c>
      <c r="D15" s="3">
        <v>15.8384283827367</v>
      </c>
      <c r="E15" s="3">
        <v>19.674905088201701</v>
      </c>
      <c r="F15" s="3">
        <v>15.865837745014501</v>
      </c>
      <c r="G15" s="3">
        <v>14.9584229420356</v>
      </c>
      <c r="H15" s="3">
        <v>15.7043459586257</v>
      </c>
      <c r="I15" s="3">
        <v>12.6762086992742</v>
      </c>
      <c r="J15" s="3" t="e">
        <v>#N/A</v>
      </c>
      <c r="K15" s="3">
        <v>10.880811573103299</v>
      </c>
      <c r="L15" s="3">
        <v>12.709195843321799</v>
      </c>
      <c r="M15" s="3">
        <v>17.205968506922598</v>
      </c>
      <c r="N15" s="3">
        <v>12.0883354265242</v>
      </c>
      <c r="O15" s="3">
        <v>21.304209434788699</v>
      </c>
      <c r="P15" s="3">
        <v>10.305182073828799</v>
      </c>
      <c r="Q15" s="3">
        <v>14.2450454227316</v>
      </c>
      <c r="R15" s="3">
        <v>19.455940900778401</v>
      </c>
      <c r="S15" s="3">
        <v>10.7691849275053</v>
      </c>
      <c r="T15" s="3">
        <v>12.952380116647401</v>
      </c>
      <c r="U15" s="3">
        <v>17.177352794866099</v>
      </c>
      <c r="V15" s="3" t="e">
        <v>#N/A</v>
      </c>
    </row>
    <row r="16" spans="1:22" x14ac:dyDescent="0.35">
      <c r="A16" s="2">
        <v>42265</v>
      </c>
      <c r="B16" s="3" t="e">
        <v>#N/A</v>
      </c>
      <c r="C16" s="3">
        <v>15.249140349527501</v>
      </c>
      <c r="D16" s="3">
        <v>15.8215603905147</v>
      </c>
      <c r="E16" s="3">
        <v>19.270224119165999</v>
      </c>
      <c r="F16" s="3">
        <v>14.875361524498301</v>
      </c>
      <c r="G16" s="3">
        <v>14.556492654373899</v>
      </c>
      <c r="H16" s="3">
        <v>16.430928750231701</v>
      </c>
      <c r="I16" s="3">
        <v>12.922002596642301</v>
      </c>
      <c r="J16" s="3" t="e">
        <v>#N/A</v>
      </c>
      <c r="K16" s="3">
        <v>10.8917606567693</v>
      </c>
      <c r="L16" s="3">
        <v>12.6635393711753</v>
      </c>
      <c r="M16" s="3">
        <v>17.177561122239499</v>
      </c>
      <c r="N16" s="3">
        <v>11.4949751616457</v>
      </c>
      <c r="O16" s="3">
        <v>20.4500108632887</v>
      </c>
      <c r="P16" s="3">
        <v>9.9753632304067601</v>
      </c>
      <c r="Q16" s="3">
        <v>14.0042745707484</v>
      </c>
      <c r="R16" s="3">
        <v>19.0031066676721</v>
      </c>
      <c r="S16" s="3">
        <v>10.6624499311918</v>
      </c>
      <c r="T16" s="3">
        <v>13.3468019415394</v>
      </c>
      <c r="U16" s="3">
        <v>17.9027083089176</v>
      </c>
      <c r="V16" s="3" t="e">
        <v>#N/A</v>
      </c>
    </row>
    <row r="17" spans="1:22" x14ac:dyDescent="0.35">
      <c r="A17" s="2">
        <v>42296</v>
      </c>
      <c r="B17" s="3" t="e">
        <v>#N/A</v>
      </c>
      <c r="C17" s="3">
        <v>15.570654683055899</v>
      </c>
      <c r="D17" s="3">
        <v>16.557251274805701</v>
      </c>
      <c r="E17" s="3">
        <v>19.133311024127501</v>
      </c>
      <c r="F17" s="3">
        <v>14.013177728148699</v>
      </c>
      <c r="G17" s="3">
        <v>11.6987591480336</v>
      </c>
      <c r="H17" s="3">
        <v>16.842360729576999</v>
      </c>
      <c r="I17" s="3">
        <v>12.8854245421859</v>
      </c>
      <c r="J17" s="3" t="e">
        <v>#N/A</v>
      </c>
      <c r="K17" s="3">
        <v>11.1168712537755</v>
      </c>
      <c r="L17" s="3">
        <v>12.5276844380104</v>
      </c>
      <c r="M17" s="3">
        <v>17.911656562305801</v>
      </c>
      <c r="N17" s="3">
        <v>10.5482368676583</v>
      </c>
      <c r="O17" s="3">
        <v>20.8599097328905</v>
      </c>
      <c r="P17" s="3">
        <v>10.400685293496901</v>
      </c>
      <c r="Q17" s="3">
        <v>14.1118932362859</v>
      </c>
      <c r="R17" s="3">
        <v>18.659422399078199</v>
      </c>
      <c r="S17" s="3">
        <v>11.099039183975</v>
      </c>
      <c r="T17" s="3">
        <v>13.7566111920033</v>
      </c>
      <c r="U17" s="3">
        <v>23.651116857672601</v>
      </c>
      <c r="V17" s="3" t="e">
        <v>#N/A</v>
      </c>
    </row>
    <row r="18" spans="1:22" x14ac:dyDescent="0.35">
      <c r="A18" s="2">
        <v>42327</v>
      </c>
      <c r="B18" s="3" t="e">
        <v>#N/A</v>
      </c>
      <c r="C18" s="3">
        <v>16.131202347485001</v>
      </c>
      <c r="D18" s="3">
        <v>16.357848429292201</v>
      </c>
      <c r="E18" s="3">
        <v>18.0768224742779</v>
      </c>
      <c r="F18" s="3">
        <v>12.760378527785299</v>
      </c>
      <c r="G18" s="3">
        <v>11.3207739497894</v>
      </c>
      <c r="H18" s="3">
        <v>16.386155091359701</v>
      </c>
      <c r="I18" s="3">
        <v>12.7546332548895</v>
      </c>
      <c r="J18" s="3" t="e">
        <v>#N/A</v>
      </c>
      <c r="K18" s="3">
        <v>11.150653118568099</v>
      </c>
      <c r="L18" s="3">
        <v>12.9911601334629</v>
      </c>
      <c r="M18" s="3">
        <v>17.570694078647801</v>
      </c>
      <c r="N18" s="3">
        <v>11.7097820844937</v>
      </c>
      <c r="O18" s="3">
        <v>20.110944362346899</v>
      </c>
      <c r="P18" s="3">
        <v>10.155584601967</v>
      </c>
      <c r="Q18" s="3">
        <v>13.049723963648001</v>
      </c>
      <c r="R18" s="3">
        <v>16.416842622623101</v>
      </c>
      <c r="S18" s="3">
        <v>11.2822290696697</v>
      </c>
      <c r="T18" s="3">
        <v>12.3619633274297</v>
      </c>
      <c r="U18" s="3">
        <v>25.019562889191899</v>
      </c>
      <c r="V18" s="3" t="e">
        <v>#N/A</v>
      </c>
    </row>
    <row r="19" spans="1:22" x14ac:dyDescent="0.35">
      <c r="A19" s="2">
        <v>42356</v>
      </c>
      <c r="B19" s="3" t="e">
        <v>#N/A</v>
      </c>
      <c r="C19" s="3">
        <v>16.1911612172335</v>
      </c>
      <c r="D19" s="3">
        <v>15.7986612129838</v>
      </c>
      <c r="E19" s="3">
        <v>18.051498318325599</v>
      </c>
      <c r="F19" s="3">
        <v>11.2675641346133</v>
      </c>
      <c r="G19" s="3">
        <v>10.3708259186498</v>
      </c>
      <c r="H19" s="3">
        <v>16.424315555956301</v>
      </c>
      <c r="I19" s="3">
        <v>12.2652654420964</v>
      </c>
      <c r="J19" s="3" t="e">
        <v>#N/A</v>
      </c>
      <c r="K19" s="3">
        <v>10.550368323559301</v>
      </c>
      <c r="L19" s="3">
        <v>12.1350269194582</v>
      </c>
      <c r="M19" s="3">
        <v>16.155238523236299</v>
      </c>
      <c r="N19" s="3">
        <v>-3.0441980630245098</v>
      </c>
      <c r="O19" s="3">
        <v>20.195498583959001</v>
      </c>
      <c r="P19" s="3">
        <v>9.8034694713230301</v>
      </c>
      <c r="Q19" s="3">
        <v>10.909111327524499</v>
      </c>
      <c r="R19" s="3">
        <v>14.616977877518</v>
      </c>
      <c r="S19" s="3">
        <v>9.9962269208233394</v>
      </c>
      <c r="T19" s="3">
        <v>12.075033610075099</v>
      </c>
      <c r="U19" s="3">
        <v>23.044348975655002</v>
      </c>
      <c r="V19" s="3" t="e">
        <v>#N/A</v>
      </c>
    </row>
    <row r="20" spans="1:22" x14ac:dyDescent="0.35">
      <c r="A20" s="2">
        <v>42388</v>
      </c>
      <c r="B20" s="3" t="e">
        <v>#N/A</v>
      </c>
      <c r="C20" s="3">
        <v>15.0576488054013</v>
      </c>
      <c r="D20" s="3">
        <v>15.883838075049299</v>
      </c>
      <c r="E20" s="3">
        <v>16.4755203384317</v>
      </c>
      <c r="F20" s="3">
        <v>10.567920172089099</v>
      </c>
      <c r="G20" s="3">
        <v>13.220934253980801</v>
      </c>
      <c r="H20" s="3">
        <v>16.156664374869202</v>
      </c>
      <c r="I20" s="3">
        <v>11.292382162181999</v>
      </c>
      <c r="J20" s="3">
        <v>22.144037080605301</v>
      </c>
      <c r="K20" s="3">
        <v>9.6971264575026606</v>
      </c>
      <c r="L20" s="3">
        <v>10.894290210420801</v>
      </c>
      <c r="M20" s="3">
        <v>14.9864662968331</v>
      </c>
      <c r="N20" s="3">
        <v>-1.2391771502987901</v>
      </c>
      <c r="O20" s="3">
        <v>19.233689801478299</v>
      </c>
      <c r="P20" s="3">
        <v>9.6217600955922205</v>
      </c>
      <c r="Q20" s="3">
        <v>10.5197271803044</v>
      </c>
      <c r="R20" s="3">
        <v>14.163591534107599</v>
      </c>
      <c r="S20" s="3">
        <v>9.5777068691133405</v>
      </c>
      <c r="T20" s="3">
        <v>11.8573687507711</v>
      </c>
      <c r="U20" s="3">
        <v>26.267246538453801</v>
      </c>
      <c r="V20" s="3">
        <v>10.6019883666102</v>
      </c>
    </row>
    <row r="21" spans="1:22" x14ac:dyDescent="0.35">
      <c r="A21" s="2">
        <v>42419</v>
      </c>
      <c r="B21" s="3" t="e">
        <v>#N/A</v>
      </c>
      <c r="C21" s="3">
        <v>15.8842006570218</v>
      </c>
      <c r="D21" s="3">
        <v>16.395645999138701</v>
      </c>
      <c r="E21" s="3">
        <v>17.3385413908962</v>
      </c>
      <c r="F21" s="3">
        <v>12.1973359945874</v>
      </c>
      <c r="G21" s="3">
        <v>17.804701144073899</v>
      </c>
      <c r="H21" s="3">
        <v>16.662816433021899</v>
      </c>
      <c r="I21" s="3">
        <v>12.2807994802177</v>
      </c>
      <c r="J21" s="3">
        <v>24.021745369467499</v>
      </c>
      <c r="K21" s="3">
        <v>10.5836046693152</v>
      </c>
      <c r="L21" s="3">
        <v>11.853038449407601</v>
      </c>
      <c r="M21" s="3">
        <v>15.826043776283999</v>
      </c>
      <c r="N21" s="3">
        <v>-0.285524686126579</v>
      </c>
      <c r="O21" s="3">
        <v>19.385079095609299</v>
      </c>
      <c r="P21" s="3">
        <v>9.5123052848525695</v>
      </c>
      <c r="Q21" s="3">
        <v>12.225394755298501</v>
      </c>
      <c r="R21" s="3">
        <v>16.644534980586702</v>
      </c>
      <c r="S21" s="3">
        <v>9.5425933803148197</v>
      </c>
      <c r="T21" s="3">
        <v>12.5338123840076</v>
      </c>
      <c r="U21" s="3">
        <v>18.825228851704701</v>
      </c>
      <c r="V21" s="3">
        <v>11.1955725794001</v>
      </c>
    </row>
    <row r="22" spans="1:22" x14ac:dyDescent="0.35">
      <c r="A22" s="2">
        <v>42447</v>
      </c>
      <c r="B22" s="3" t="e">
        <v>#N/A</v>
      </c>
      <c r="C22" s="3">
        <v>15.5052879218636</v>
      </c>
      <c r="D22" s="3">
        <v>16.835509760045099</v>
      </c>
      <c r="E22" s="3">
        <v>16.8910200352889</v>
      </c>
      <c r="F22" s="3">
        <v>12.3798005198921</v>
      </c>
      <c r="G22" s="3">
        <v>22.509825359135299</v>
      </c>
      <c r="H22" s="3">
        <v>16.672641348235999</v>
      </c>
      <c r="I22" s="3">
        <v>12.5142305246149</v>
      </c>
      <c r="J22" s="3">
        <v>24.7277604672983</v>
      </c>
      <c r="K22" s="3">
        <v>10.649985935221601</v>
      </c>
      <c r="L22" s="3">
        <v>13.0582819981264</v>
      </c>
      <c r="M22" s="3">
        <v>16.089664087126799</v>
      </c>
      <c r="N22" s="3">
        <v>0.37474461933646702</v>
      </c>
      <c r="O22" s="3">
        <v>18.9428546479608</v>
      </c>
      <c r="P22" s="3">
        <v>9.4898896793513501</v>
      </c>
      <c r="Q22" s="3">
        <v>12.138186488706401</v>
      </c>
      <c r="R22" s="3">
        <v>16.606698767722701</v>
      </c>
      <c r="S22" s="3">
        <v>9.8732496835910695</v>
      </c>
      <c r="T22" s="3">
        <v>13.074623889534299</v>
      </c>
      <c r="U22" s="3">
        <v>-4.7302215235906804</v>
      </c>
      <c r="V22" s="3">
        <v>11.8033989922631</v>
      </c>
    </row>
    <row r="23" spans="1:22" x14ac:dyDescent="0.35">
      <c r="A23" s="2">
        <v>42479</v>
      </c>
      <c r="B23" s="3" t="e">
        <v>#N/A</v>
      </c>
      <c r="C23" s="3">
        <v>15.431826759151599</v>
      </c>
      <c r="D23" s="3">
        <v>16.684144557226698</v>
      </c>
      <c r="E23" s="3">
        <v>16.918261213574301</v>
      </c>
      <c r="F23" s="3">
        <v>12.458230826351601</v>
      </c>
      <c r="G23" s="3">
        <v>22.007785475605601</v>
      </c>
      <c r="H23" s="3">
        <v>16.648466335408902</v>
      </c>
      <c r="I23" s="3">
        <v>12.532475080828499</v>
      </c>
      <c r="J23" s="3">
        <v>24.643739917259499</v>
      </c>
      <c r="K23" s="3">
        <v>10.6906875008955</v>
      </c>
      <c r="L23" s="3">
        <v>13.3861292425839</v>
      </c>
      <c r="M23" s="3">
        <v>16.075072547543002</v>
      </c>
      <c r="N23" s="3">
        <v>2.0538339434473301</v>
      </c>
      <c r="O23" s="3">
        <v>19.008068083164599</v>
      </c>
      <c r="P23" s="3">
        <v>9.7398721681909208</v>
      </c>
      <c r="Q23" s="3">
        <v>12.2516536872355</v>
      </c>
      <c r="R23" s="3">
        <v>16.514877522295201</v>
      </c>
      <c r="S23" s="3">
        <v>9.9169777670281807</v>
      </c>
      <c r="T23" s="3">
        <v>13.3261642142566</v>
      </c>
      <c r="U23" s="3">
        <v>-3.1516752130395602</v>
      </c>
      <c r="V23" s="3">
        <v>11.965214066535401</v>
      </c>
    </row>
    <row r="24" spans="1:22" x14ac:dyDescent="0.35">
      <c r="A24" s="2">
        <v>42509</v>
      </c>
      <c r="B24" s="3" t="e">
        <v>#N/A</v>
      </c>
      <c r="C24" s="3">
        <v>15.2677537483251</v>
      </c>
      <c r="D24" s="3">
        <v>16.278983646609301</v>
      </c>
      <c r="E24" s="3">
        <v>16.929375573400002</v>
      </c>
      <c r="F24" s="3">
        <v>12.009020437284599</v>
      </c>
      <c r="G24" s="3">
        <v>21.0172605938563</v>
      </c>
      <c r="H24" s="3">
        <v>16.3937633622417</v>
      </c>
      <c r="I24" s="3">
        <v>12.4194655833876</v>
      </c>
      <c r="J24" s="3">
        <v>24.1239233043834</v>
      </c>
      <c r="K24" s="3">
        <v>10.4057252559808</v>
      </c>
      <c r="L24" s="3">
        <v>12.989226319939799</v>
      </c>
      <c r="M24" s="3">
        <v>15.5766882150482</v>
      </c>
      <c r="N24" s="3">
        <v>3.5388800643010399</v>
      </c>
      <c r="O24" s="3">
        <v>18.850800110594601</v>
      </c>
      <c r="P24" s="3">
        <v>9.5327478313924399</v>
      </c>
      <c r="Q24" s="3">
        <v>12.0145055584078</v>
      </c>
      <c r="R24" s="3">
        <v>16.2486099479686</v>
      </c>
      <c r="S24" s="3">
        <v>9.5645650490387908</v>
      </c>
      <c r="T24" s="3">
        <v>13.1205506200934</v>
      </c>
      <c r="U24" s="3">
        <v>-1.11356570726612</v>
      </c>
      <c r="V24" s="3">
        <v>12.417907622603</v>
      </c>
    </row>
    <row r="25" spans="1:22" x14ac:dyDescent="0.35">
      <c r="A25" s="2">
        <v>42538</v>
      </c>
      <c r="B25" s="3" t="e">
        <v>#N/A</v>
      </c>
      <c r="C25" s="3">
        <v>15.058175954362399</v>
      </c>
      <c r="D25" s="3">
        <v>16.533578416422799</v>
      </c>
      <c r="E25" s="3">
        <v>17.4100372474987</v>
      </c>
      <c r="F25" s="3">
        <v>11.8986176069343</v>
      </c>
      <c r="G25" s="3">
        <v>20.1619458359601</v>
      </c>
      <c r="H25" s="3">
        <v>16.549248010787899</v>
      </c>
      <c r="I25" s="3">
        <v>12.8953695169208</v>
      </c>
      <c r="J25" s="3">
        <v>23.195244294250099</v>
      </c>
      <c r="K25" s="3">
        <v>10.406958775240501</v>
      </c>
      <c r="L25" s="3">
        <v>12.962372159018299</v>
      </c>
      <c r="M25" s="3">
        <v>15.748878100273499</v>
      </c>
      <c r="N25" s="3">
        <v>4.0284682066786202</v>
      </c>
      <c r="O25" s="3">
        <v>19.054380605763999</v>
      </c>
      <c r="P25" s="3">
        <v>10.1475767773986</v>
      </c>
      <c r="Q25" s="3">
        <v>12.1808022399454</v>
      </c>
      <c r="R25" s="3">
        <v>16.3248407834453</v>
      </c>
      <c r="S25" s="3">
        <v>9.4003335441376006</v>
      </c>
      <c r="T25" s="3">
        <v>13.0873852895696</v>
      </c>
      <c r="U25" s="3">
        <v>0.66564479352982198</v>
      </c>
      <c r="V25" s="3">
        <v>12.7448847562232</v>
      </c>
    </row>
    <row r="26" spans="1:22" x14ac:dyDescent="0.35">
      <c r="A26" s="2">
        <v>42570</v>
      </c>
      <c r="B26" s="3" t="e">
        <v>#N/A</v>
      </c>
      <c r="C26" s="3">
        <v>15.6978899358609</v>
      </c>
      <c r="D26" s="3">
        <v>17.336281355905999</v>
      </c>
      <c r="E26" s="3">
        <v>18.074352525396598</v>
      </c>
      <c r="F26" s="3">
        <v>11.910825907464201</v>
      </c>
      <c r="G26" s="3">
        <v>19.890405900917902</v>
      </c>
      <c r="H26" s="3">
        <v>16.8463387000889</v>
      </c>
      <c r="I26" s="3">
        <v>13.426964537307301</v>
      </c>
      <c r="J26" s="3">
        <v>23.0228706498152</v>
      </c>
      <c r="K26" s="3">
        <v>10.583415265507501</v>
      </c>
      <c r="L26" s="3">
        <v>13.9855248174465</v>
      </c>
      <c r="M26" s="3">
        <v>16.258727186087601</v>
      </c>
      <c r="N26" s="3">
        <v>5.4628975493692797</v>
      </c>
      <c r="O26" s="3">
        <v>19.481576764317001</v>
      </c>
      <c r="P26" s="3">
        <v>10.8668706382101</v>
      </c>
      <c r="Q26" s="3">
        <v>12.709267814711099</v>
      </c>
      <c r="R26" s="3">
        <v>16.653259421159799</v>
      </c>
      <c r="S26" s="3">
        <v>9.3616934423909406</v>
      </c>
      <c r="T26" s="3">
        <v>13.634630834221699</v>
      </c>
      <c r="U26" s="3">
        <v>2.5966880363492599</v>
      </c>
      <c r="V26" s="3">
        <v>12.980599478818</v>
      </c>
    </row>
    <row r="27" spans="1:22" x14ac:dyDescent="0.35">
      <c r="A27" s="2">
        <v>42601</v>
      </c>
      <c r="B27" s="3" t="e">
        <v>#N/A</v>
      </c>
      <c r="C27" s="3">
        <v>15.9739767194358</v>
      </c>
      <c r="D27" s="3">
        <v>17.935252481969599</v>
      </c>
      <c r="E27" s="3">
        <v>18.381807499878899</v>
      </c>
      <c r="F27" s="3">
        <v>12.257889225271599</v>
      </c>
      <c r="G27" s="3">
        <v>18.942618460107099</v>
      </c>
      <c r="H27" s="3">
        <v>17.043280564564299</v>
      </c>
      <c r="I27" s="3">
        <v>13.728119882528</v>
      </c>
      <c r="J27" s="3">
        <v>22.996634859849902</v>
      </c>
      <c r="K27" s="3">
        <v>10.6567059421116</v>
      </c>
      <c r="L27" s="3">
        <v>14.573864872455101</v>
      </c>
      <c r="M27" s="3">
        <v>16.9013555767824</v>
      </c>
      <c r="N27" s="3">
        <v>6.4072643117666601</v>
      </c>
      <c r="O27" s="3">
        <v>19.715834707141699</v>
      </c>
      <c r="P27" s="3">
        <v>11.7892619991218</v>
      </c>
      <c r="Q27" s="3">
        <v>13.573331458894399</v>
      </c>
      <c r="R27" s="3">
        <v>16.647469548058002</v>
      </c>
      <c r="S27" s="3">
        <v>9.5385531098637504</v>
      </c>
      <c r="T27" s="3">
        <v>13.590505314822</v>
      </c>
      <c r="U27" s="3">
        <v>4.1756978857143796</v>
      </c>
      <c r="V27" s="3">
        <v>12.7468556120395</v>
      </c>
    </row>
    <row r="28" spans="1:22" x14ac:dyDescent="0.35">
      <c r="A28" s="2">
        <v>42632</v>
      </c>
      <c r="B28" s="3" t="e">
        <v>#N/A</v>
      </c>
      <c r="C28" s="3">
        <v>15.975840461239301</v>
      </c>
      <c r="D28" s="3">
        <v>17.782208869888098</v>
      </c>
      <c r="E28" s="3">
        <v>17.745183195752102</v>
      </c>
      <c r="F28" s="3">
        <v>12.0571174007042</v>
      </c>
      <c r="G28" s="3">
        <v>17.6795522695259</v>
      </c>
      <c r="H28" s="3">
        <v>17.063015896250999</v>
      </c>
      <c r="I28" s="3">
        <v>14.094257068958999</v>
      </c>
      <c r="J28" s="3">
        <v>21.631512074291798</v>
      </c>
      <c r="K28" s="3">
        <v>10.601716662965501</v>
      </c>
      <c r="L28" s="3">
        <v>14.256749097402899</v>
      </c>
      <c r="M28" s="3">
        <v>16.672317374271401</v>
      </c>
      <c r="N28" s="3">
        <v>8.5001031233202298</v>
      </c>
      <c r="O28" s="3">
        <v>19.8185762410811</v>
      </c>
      <c r="P28" s="3">
        <v>12.4489596949069</v>
      </c>
      <c r="Q28" s="3">
        <v>12.796136910512899</v>
      </c>
      <c r="R28" s="3">
        <v>16.200372471914999</v>
      </c>
      <c r="S28" s="3">
        <v>9.5003788346427207</v>
      </c>
      <c r="T28" s="3">
        <v>13.487014737092901</v>
      </c>
      <c r="U28" s="3">
        <v>6.9350815281545897</v>
      </c>
      <c r="V28" s="3">
        <v>12.6171598555635</v>
      </c>
    </row>
    <row r="29" spans="1:22" x14ac:dyDescent="0.35">
      <c r="A29" s="2">
        <v>42662</v>
      </c>
      <c r="B29" s="3" t="e">
        <v>#N/A</v>
      </c>
      <c r="C29" s="3">
        <v>17.0068951514248</v>
      </c>
      <c r="D29" s="3">
        <v>18.264215971537801</v>
      </c>
      <c r="E29" s="3">
        <v>18.0906454987052</v>
      </c>
      <c r="F29" s="3">
        <v>12.429560170906701</v>
      </c>
      <c r="G29" s="3">
        <v>16.6449711371036</v>
      </c>
      <c r="H29" s="3">
        <v>17.346324923007799</v>
      </c>
      <c r="I29" s="3">
        <v>14.382876348999501</v>
      </c>
      <c r="J29" s="3">
        <v>22.435119920243601</v>
      </c>
      <c r="K29" s="3">
        <v>10.8295739342208</v>
      </c>
      <c r="L29" s="3">
        <v>15.3956380091377</v>
      </c>
      <c r="M29" s="3">
        <v>16.651300572618499</v>
      </c>
      <c r="N29" s="3">
        <v>10.91640797116</v>
      </c>
      <c r="O29" s="3">
        <v>19.796688618397798</v>
      </c>
      <c r="P29" s="3">
        <v>12.8735449446795</v>
      </c>
      <c r="Q29" s="3">
        <v>13.5027461594585</v>
      </c>
      <c r="R29" s="3">
        <v>16.0094480499965</v>
      </c>
      <c r="S29" s="3">
        <v>9.4637567251765695</v>
      </c>
      <c r="T29" s="3">
        <v>13.498908565583401</v>
      </c>
      <c r="U29" s="3">
        <v>10.715268222075901</v>
      </c>
      <c r="V29" s="3">
        <v>12.2047759821277</v>
      </c>
    </row>
    <row r="30" spans="1:22" x14ac:dyDescent="0.35">
      <c r="A30" s="2">
        <v>42692</v>
      </c>
      <c r="B30" s="3" t="e">
        <v>#N/A</v>
      </c>
      <c r="C30" s="3">
        <v>16.5210429490199</v>
      </c>
      <c r="D30" s="3">
        <v>17.1159082846515</v>
      </c>
      <c r="E30" s="3">
        <v>16.9275795072565</v>
      </c>
      <c r="F30" s="3">
        <v>12.2078972960465</v>
      </c>
      <c r="G30" s="3">
        <v>15.6747226212148</v>
      </c>
      <c r="H30" s="3">
        <v>17.002901288487401</v>
      </c>
      <c r="I30" s="3">
        <v>13.895854277079</v>
      </c>
      <c r="J30" s="3">
        <v>20.617592458617199</v>
      </c>
      <c r="K30" s="3">
        <v>10.6281636558318</v>
      </c>
      <c r="L30" s="3">
        <v>14.8497843514008</v>
      </c>
      <c r="M30" s="3">
        <v>16.262544978405099</v>
      </c>
      <c r="N30" s="3">
        <v>13.221595281469</v>
      </c>
      <c r="O30" s="3">
        <v>18.610143277825699</v>
      </c>
      <c r="P30" s="3">
        <v>12.8659446542223</v>
      </c>
      <c r="Q30" s="3">
        <v>12.9786938007699</v>
      </c>
      <c r="R30" s="3">
        <v>15.8178427633143</v>
      </c>
      <c r="S30" s="3">
        <v>8.9770656703538592</v>
      </c>
      <c r="T30" s="3">
        <v>12.6495547411964</v>
      </c>
      <c r="U30" s="3">
        <v>11.722877496786801</v>
      </c>
      <c r="V30" s="3">
        <v>13.955356835877099</v>
      </c>
    </row>
    <row r="31" spans="1:22" x14ac:dyDescent="0.35">
      <c r="A31" s="2">
        <v>42723</v>
      </c>
      <c r="B31" s="3" t="e">
        <v>#N/A</v>
      </c>
      <c r="C31" s="3">
        <v>15.6701587186742</v>
      </c>
      <c r="D31" s="3">
        <v>17.214338431873902</v>
      </c>
      <c r="E31" s="3">
        <v>16.5103451820776</v>
      </c>
      <c r="F31" s="3">
        <v>13.6177849912337</v>
      </c>
      <c r="G31" s="3">
        <v>14.9158809190457</v>
      </c>
      <c r="H31" s="3">
        <v>16.980046592568101</v>
      </c>
      <c r="I31" s="3">
        <v>14.246994817261299</v>
      </c>
      <c r="J31" s="3">
        <v>20.388391401146698</v>
      </c>
      <c r="K31" s="3">
        <v>11.1321134777788</v>
      </c>
      <c r="L31" s="3">
        <v>14.0860872855223</v>
      </c>
      <c r="M31" s="3">
        <v>16.4605276294707</v>
      </c>
      <c r="N31" s="3">
        <v>13.967655901851201</v>
      </c>
      <c r="O31" s="3">
        <v>18.844605216207501</v>
      </c>
      <c r="P31" s="3">
        <v>12.851607395397901</v>
      </c>
      <c r="Q31" s="3">
        <v>13.970509082240399</v>
      </c>
      <c r="R31" s="3">
        <v>16.111614698139199</v>
      </c>
      <c r="S31" s="3">
        <v>8.9246305673926507</v>
      </c>
      <c r="T31" s="3">
        <v>12.7245044598655</v>
      </c>
      <c r="U31" s="3">
        <v>13.8965805541651</v>
      </c>
      <c r="V31" s="3">
        <v>14.9267550743365</v>
      </c>
    </row>
    <row r="32" spans="1:22" x14ac:dyDescent="0.35">
      <c r="A32" s="2">
        <v>42754</v>
      </c>
      <c r="B32" s="3">
        <v>14.9009300730088</v>
      </c>
      <c r="C32" s="3">
        <v>15.9282335300877</v>
      </c>
      <c r="D32" s="3">
        <v>17.776893428836001</v>
      </c>
      <c r="E32" s="3">
        <v>18.103853322317399</v>
      </c>
      <c r="F32" s="3">
        <v>14.1159673485921</v>
      </c>
      <c r="G32" s="3">
        <v>15.279974401797</v>
      </c>
      <c r="H32" s="3">
        <v>17.196459754429799</v>
      </c>
      <c r="I32" s="3">
        <v>14.2331400734094</v>
      </c>
      <c r="J32" s="3">
        <v>20.4435892927347</v>
      </c>
      <c r="K32" s="3">
        <v>11.273896459765499</v>
      </c>
      <c r="L32" s="3">
        <v>15.2807750919226</v>
      </c>
      <c r="M32" s="3">
        <v>17.468057157266401</v>
      </c>
      <c r="N32" s="3">
        <v>14.2574208375675</v>
      </c>
      <c r="O32" s="3">
        <v>19.444978366278601</v>
      </c>
      <c r="P32" s="3">
        <v>13.6425701295479</v>
      </c>
      <c r="Q32" s="3">
        <v>15.1601079675308</v>
      </c>
      <c r="R32" s="3">
        <v>16.3915801675621</v>
      </c>
      <c r="S32" s="3">
        <v>9.3070628490890801</v>
      </c>
      <c r="T32" s="3">
        <v>13.4963956010919</v>
      </c>
      <c r="U32" s="3">
        <v>14.524360879539</v>
      </c>
      <c r="V32" s="3">
        <v>14.8234435788731</v>
      </c>
    </row>
    <row r="33" spans="1:22" x14ac:dyDescent="0.35">
      <c r="A33" s="2">
        <v>42783</v>
      </c>
      <c r="B33" s="3">
        <v>15.0193150681439</v>
      </c>
      <c r="C33" s="3">
        <v>16.6580976431446</v>
      </c>
      <c r="D33" s="3">
        <v>17.565124652161501</v>
      </c>
      <c r="E33" s="3">
        <v>18.224592832508801</v>
      </c>
      <c r="F33" s="3">
        <v>16.142462347832101</v>
      </c>
      <c r="G33" s="3">
        <v>16.937891261651</v>
      </c>
      <c r="H33" s="3">
        <v>17.284517816944099</v>
      </c>
      <c r="I33" s="3">
        <v>14.626487120049701</v>
      </c>
      <c r="J33" s="3">
        <v>21.556371492745299</v>
      </c>
      <c r="K33" s="3">
        <v>11.676850419709201</v>
      </c>
      <c r="L33" s="3">
        <v>16.891536723811701</v>
      </c>
      <c r="M33" s="3">
        <v>18.533519860495598</v>
      </c>
      <c r="N33" s="3">
        <v>13.7103696081201</v>
      </c>
      <c r="O33" s="3">
        <v>20.433352667802499</v>
      </c>
      <c r="P33" s="3">
        <v>14.2183509246564</v>
      </c>
      <c r="Q33" s="3">
        <v>14.937459642788101</v>
      </c>
      <c r="R33" s="3">
        <v>16.367130012350302</v>
      </c>
      <c r="S33" s="3">
        <v>10.051887212340301</v>
      </c>
      <c r="T33" s="3">
        <v>13.5463670009058</v>
      </c>
      <c r="U33" s="3">
        <v>15.895180283790401</v>
      </c>
      <c r="V33" s="3">
        <v>15.3127913489727</v>
      </c>
    </row>
    <row r="34" spans="1:22" x14ac:dyDescent="0.35">
      <c r="A34" s="2">
        <v>42811</v>
      </c>
      <c r="B34" s="3">
        <v>15.153186935723401</v>
      </c>
      <c r="C34" s="3">
        <v>16.8913525316466</v>
      </c>
      <c r="D34" s="3">
        <v>17.509014798341401</v>
      </c>
      <c r="E34" s="3">
        <v>17.8785771847513</v>
      </c>
      <c r="F34" s="3">
        <v>15.6670629879934</v>
      </c>
      <c r="G34" s="3">
        <v>16.177691647744101</v>
      </c>
      <c r="H34" s="3">
        <v>17.120554434316599</v>
      </c>
      <c r="I34" s="3">
        <v>14.5101951340024</v>
      </c>
      <c r="J34" s="3">
        <v>21.404671903159802</v>
      </c>
      <c r="K34" s="3">
        <v>11.619289143607901</v>
      </c>
      <c r="L34" s="3">
        <v>16.551255799879701</v>
      </c>
      <c r="M34" s="3">
        <v>18.493992195381999</v>
      </c>
      <c r="N34" s="3">
        <v>14.1720550964735</v>
      </c>
      <c r="O34" s="3">
        <v>20.509513050186399</v>
      </c>
      <c r="P34" s="3">
        <v>14.0740118522163</v>
      </c>
      <c r="Q34" s="3">
        <v>14.7438808633744</v>
      </c>
      <c r="R34" s="3">
        <v>16.3026720240508</v>
      </c>
      <c r="S34" s="3">
        <v>9.8449974155943902</v>
      </c>
      <c r="T34" s="3">
        <v>13.3423337538435</v>
      </c>
      <c r="U34" s="3">
        <v>15.501892060326799</v>
      </c>
      <c r="V34" s="3">
        <v>15.3474771819022</v>
      </c>
    </row>
    <row r="35" spans="1:22" x14ac:dyDescent="0.35">
      <c r="A35" s="2">
        <v>42844</v>
      </c>
      <c r="B35" s="3">
        <v>15.0331623830435</v>
      </c>
      <c r="C35" s="3">
        <v>17.184643839416299</v>
      </c>
      <c r="D35" s="3">
        <v>17.3250756320395</v>
      </c>
      <c r="E35" s="3">
        <v>17.919254500069901</v>
      </c>
      <c r="F35" s="3">
        <v>15.313260048907299</v>
      </c>
      <c r="G35" s="3">
        <v>15.4555348409981</v>
      </c>
      <c r="H35" s="3">
        <v>17.131447568225099</v>
      </c>
      <c r="I35" s="3">
        <v>14.2830686366711</v>
      </c>
      <c r="J35" s="3">
        <v>20.965080917406901</v>
      </c>
      <c r="K35" s="3">
        <v>11.2200925322717</v>
      </c>
      <c r="L35" s="3">
        <v>16.089479547306201</v>
      </c>
      <c r="M35" s="3">
        <v>18.258756050670701</v>
      </c>
      <c r="N35" s="3">
        <v>14.206308263818</v>
      </c>
      <c r="O35" s="3">
        <v>20.333143901880799</v>
      </c>
      <c r="P35" s="3">
        <v>13.8754637313983</v>
      </c>
      <c r="Q35" s="3">
        <v>14.6811555444799</v>
      </c>
      <c r="R35" s="3">
        <v>16.212718564466101</v>
      </c>
      <c r="S35" s="3">
        <v>9.7074698801634902</v>
      </c>
      <c r="T35" s="3">
        <v>13.320589997032201</v>
      </c>
      <c r="U35" s="3">
        <v>15.6254562096972</v>
      </c>
      <c r="V35" s="3">
        <v>15.2104305496077</v>
      </c>
    </row>
    <row r="36" spans="1:22" x14ac:dyDescent="0.35">
      <c r="A36" s="2">
        <v>42874</v>
      </c>
      <c r="B36" s="3">
        <v>14.9109041023339</v>
      </c>
      <c r="C36" s="3">
        <v>17.2569311287006</v>
      </c>
      <c r="D36" s="3">
        <v>17.467317648980199</v>
      </c>
      <c r="E36" s="3">
        <v>17.957123311271999</v>
      </c>
      <c r="F36" s="3">
        <v>15.0080117747038</v>
      </c>
      <c r="G36" s="3">
        <v>15.226685524061701</v>
      </c>
      <c r="H36" s="3">
        <v>17.2848505780122</v>
      </c>
      <c r="I36" s="3">
        <v>14.321235663088901</v>
      </c>
      <c r="J36" s="3">
        <v>20.5073416691002</v>
      </c>
      <c r="K36" s="3">
        <v>11.1240880855923</v>
      </c>
      <c r="L36" s="3">
        <v>15.662066496477999</v>
      </c>
      <c r="M36" s="3">
        <v>18.3108402501129</v>
      </c>
      <c r="N36" s="3">
        <v>15.2254232546863</v>
      </c>
      <c r="O36" s="3">
        <v>20.3513213763575</v>
      </c>
      <c r="P36" s="3">
        <v>14.0549673027467</v>
      </c>
      <c r="Q36" s="3">
        <v>14.615828963966401</v>
      </c>
      <c r="R36" s="3">
        <v>16.029076963537999</v>
      </c>
      <c r="S36" s="3">
        <v>9.7025078918521093</v>
      </c>
      <c r="T36" s="3">
        <v>13.1264844756755</v>
      </c>
      <c r="U36" s="3">
        <v>15.795429765820501</v>
      </c>
      <c r="V36" s="3">
        <v>15.0254642650804</v>
      </c>
    </row>
    <row r="37" spans="1:22" x14ac:dyDescent="0.35">
      <c r="A37" s="2">
        <v>42905</v>
      </c>
      <c r="B37" s="3">
        <v>15.1662966930084</v>
      </c>
      <c r="C37" s="3">
        <v>17.4093788172041</v>
      </c>
      <c r="D37" s="3">
        <v>17.276176460018299</v>
      </c>
      <c r="E37" s="3">
        <v>18.2962703147487</v>
      </c>
      <c r="F37" s="3">
        <v>14.730795237095601</v>
      </c>
      <c r="G37" s="3">
        <v>14.780510822176</v>
      </c>
      <c r="H37" s="3">
        <v>17.274963676756599</v>
      </c>
      <c r="I37" s="3">
        <v>14.4670135453462</v>
      </c>
      <c r="J37" s="3">
        <v>20.1395675843136</v>
      </c>
      <c r="K37" s="3">
        <v>11.0141922914106</v>
      </c>
      <c r="L37" s="3">
        <v>15.138207141075799</v>
      </c>
      <c r="M37" s="3">
        <v>17.782712821277201</v>
      </c>
      <c r="N37" s="3">
        <v>15.194923814451201</v>
      </c>
      <c r="O37" s="3">
        <v>20.357096158964001</v>
      </c>
      <c r="P37" s="3">
        <v>14.113814294710201</v>
      </c>
      <c r="Q37" s="3">
        <v>14.054544850871199</v>
      </c>
      <c r="R37" s="3">
        <v>16.115283215187301</v>
      </c>
      <c r="S37" s="3">
        <v>9.6942824601787603</v>
      </c>
      <c r="T37" s="3">
        <v>12.9275221720271</v>
      </c>
      <c r="U37" s="3">
        <v>16.384277483164201</v>
      </c>
      <c r="V37" s="3">
        <v>15.1635365270033</v>
      </c>
    </row>
    <row r="38" spans="1:22" x14ac:dyDescent="0.35">
      <c r="A38" s="2">
        <v>42935</v>
      </c>
      <c r="B38" s="3">
        <v>15.365816144193801</v>
      </c>
      <c r="C38" s="3">
        <v>17.9848285845448</v>
      </c>
      <c r="D38" s="3">
        <v>17.291042978507502</v>
      </c>
      <c r="E38" s="3">
        <v>17.955286344859701</v>
      </c>
      <c r="F38" s="3">
        <v>14.546318370904199</v>
      </c>
      <c r="G38" s="3">
        <v>14.9190573693755</v>
      </c>
      <c r="H38" s="3">
        <v>17.165263023379801</v>
      </c>
      <c r="I38" s="3">
        <v>14.7480309965459</v>
      </c>
      <c r="J38" s="3">
        <v>19.945219815098</v>
      </c>
      <c r="K38" s="3">
        <v>10.9446431701456</v>
      </c>
      <c r="L38" s="3">
        <v>15.0376636090229</v>
      </c>
      <c r="M38" s="3">
        <v>17.990117472886102</v>
      </c>
      <c r="N38" s="3">
        <v>15.562811721579701</v>
      </c>
      <c r="O38" s="3">
        <v>20.741273037123399</v>
      </c>
      <c r="P38" s="3">
        <v>14.4141633169963</v>
      </c>
      <c r="Q38" s="3">
        <v>14.2337210585926</v>
      </c>
      <c r="R38" s="3">
        <v>15.9397642045098</v>
      </c>
      <c r="S38" s="3">
        <v>9.8472410301027402</v>
      </c>
      <c r="T38" s="3">
        <v>13.0922016404314</v>
      </c>
      <c r="U38" s="3">
        <v>16.188388568022201</v>
      </c>
      <c r="V38" s="3">
        <v>15.316290748723</v>
      </c>
    </row>
    <row r="39" spans="1:22" x14ac:dyDescent="0.35">
      <c r="A39" s="2">
        <v>42965</v>
      </c>
      <c r="B39" s="3">
        <v>15.226264877130101</v>
      </c>
      <c r="C39" s="3">
        <v>18.6637709372066</v>
      </c>
      <c r="D39" s="3">
        <v>17.335600335907898</v>
      </c>
      <c r="E39" s="3">
        <v>17.802135074455901</v>
      </c>
      <c r="F39" s="3">
        <v>14.250441543246399</v>
      </c>
      <c r="G39" s="3">
        <v>15.2650820808148</v>
      </c>
      <c r="H39" s="3">
        <v>17.3471186722232</v>
      </c>
      <c r="I39" s="3">
        <v>14.6453591340962</v>
      </c>
      <c r="J39" s="3">
        <v>19.596448764895001</v>
      </c>
      <c r="K39" s="3">
        <v>10.4746548487913</v>
      </c>
      <c r="L39" s="3">
        <v>15.301964130147301</v>
      </c>
      <c r="M39" s="3">
        <v>18.087182729475199</v>
      </c>
      <c r="N39" s="3">
        <v>15.1756915167422</v>
      </c>
      <c r="O39" s="3">
        <v>20.7588411089339</v>
      </c>
      <c r="P39" s="3">
        <v>14.527942960377301</v>
      </c>
      <c r="Q39" s="3">
        <v>13.952247750816399</v>
      </c>
      <c r="R39" s="3">
        <v>15.9262376107196</v>
      </c>
      <c r="S39" s="3">
        <v>9.4905080780205697</v>
      </c>
      <c r="T39" s="3">
        <v>13.0130709328631</v>
      </c>
      <c r="U39" s="3">
        <v>17.066417334149602</v>
      </c>
      <c r="V39" s="3">
        <v>15.025746808826501</v>
      </c>
    </row>
    <row r="40" spans="1:22" x14ac:dyDescent="0.35">
      <c r="A40" s="2">
        <v>42997</v>
      </c>
      <c r="B40" s="3">
        <v>15.6452525594456</v>
      </c>
      <c r="C40" s="3">
        <v>19.820583814066001</v>
      </c>
      <c r="D40" s="3">
        <v>17.237303789085601</v>
      </c>
      <c r="E40" s="3">
        <v>18.603047167736602</v>
      </c>
      <c r="F40" s="3">
        <v>13.9976467214358</v>
      </c>
      <c r="G40" s="3">
        <v>16.605264514764499</v>
      </c>
      <c r="H40" s="3">
        <v>17.535081784669998</v>
      </c>
      <c r="I40" s="3">
        <v>14.590252859045099</v>
      </c>
      <c r="J40" s="3">
        <v>19.2051412223441</v>
      </c>
      <c r="K40" s="3">
        <v>10.4973415841372</v>
      </c>
      <c r="L40" s="3">
        <v>15.853491246833</v>
      </c>
      <c r="M40" s="3">
        <v>17.6496569045113</v>
      </c>
      <c r="N40" s="3">
        <v>14.4274635533693</v>
      </c>
      <c r="O40" s="3">
        <v>21.329578613939798</v>
      </c>
      <c r="P40" s="3">
        <v>14.933615214280801</v>
      </c>
      <c r="Q40" s="3">
        <v>12.772540420633501</v>
      </c>
      <c r="R40" s="3">
        <v>16.5668605858659</v>
      </c>
      <c r="S40" s="3">
        <v>9.2266459316901308</v>
      </c>
      <c r="T40" s="3">
        <v>12.393285116344099</v>
      </c>
      <c r="U40" s="3">
        <v>17.977027201788399</v>
      </c>
      <c r="V40" s="3">
        <v>15.0632653865158</v>
      </c>
    </row>
    <row r="41" spans="1:22" x14ac:dyDescent="0.35">
      <c r="A41" s="2">
        <v>43027</v>
      </c>
      <c r="B41" s="3">
        <v>15.8788765064996</v>
      </c>
      <c r="C41" s="3">
        <v>17.976201032525601</v>
      </c>
      <c r="D41" s="3">
        <v>17.1925832471373</v>
      </c>
      <c r="E41" s="3">
        <v>19.640928384339201</v>
      </c>
      <c r="F41" s="3">
        <v>13.358057836011699</v>
      </c>
      <c r="G41" s="3">
        <v>16.495310851075999</v>
      </c>
      <c r="H41" s="3">
        <v>17.360128277759301</v>
      </c>
      <c r="I41" s="3">
        <v>14.751654543066399</v>
      </c>
      <c r="J41" s="3">
        <v>18.624969338588201</v>
      </c>
      <c r="K41" s="3">
        <v>10.5570837653687</v>
      </c>
      <c r="L41" s="3">
        <v>15.608637103515999</v>
      </c>
      <c r="M41" s="3">
        <v>18.148526686534801</v>
      </c>
      <c r="N41" s="3">
        <v>16.104144108835101</v>
      </c>
      <c r="O41" s="3">
        <v>21.324798195989501</v>
      </c>
      <c r="P41" s="3">
        <v>15.0603117523029</v>
      </c>
      <c r="Q41" s="3">
        <v>12.654914223225299</v>
      </c>
      <c r="R41" s="3">
        <v>16.558672662418701</v>
      </c>
      <c r="S41" s="3">
        <v>9.2280263295187304</v>
      </c>
      <c r="T41" s="3">
        <v>12.4397088757706</v>
      </c>
      <c r="U41" s="3">
        <v>18.204278059636898</v>
      </c>
      <c r="V41" s="3">
        <v>14.4085076008516</v>
      </c>
    </row>
    <row r="42" spans="1:22" x14ac:dyDescent="0.35">
      <c r="A42" s="2">
        <v>43056</v>
      </c>
      <c r="B42" s="3">
        <v>16.433723188274499</v>
      </c>
      <c r="C42" s="3">
        <v>17.7309264664813</v>
      </c>
      <c r="D42" s="3">
        <v>17.3364580759484</v>
      </c>
      <c r="E42" s="3">
        <v>19.273696720082501</v>
      </c>
      <c r="F42" s="3">
        <v>12.775789265092101</v>
      </c>
      <c r="G42" s="3">
        <v>16.652763947950199</v>
      </c>
      <c r="H42" s="3">
        <v>17.156332137394699</v>
      </c>
      <c r="I42" s="3">
        <v>14.858288878467</v>
      </c>
      <c r="J42" s="3">
        <v>16.956700635222099</v>
      </c>
      <c r="K42" s="3">
        <v>10.453858418377999</v>
      </c>
      <c r="L42" s="3">
        <v>14.700764315464101</v>
      </c>
      <c r="M42" s="3">
        <v>18.821638041698101</v>
      </c>
      <c r="N42" s="3">
        <v>16.017029876466299</v>
      </c>
      <c r="O42" s="3">
        <v>21.696993629444101</v>
      </c>
      <c r="P42" s="3">
        <v>15.5431934900854</v>
      </c>
      <c r="Q42" s="3">
        <v>12.399431531712899</v>
      </c>
      <c r="R42" s="3">
        <v>17.0977840156689</v>
      </c>
      <c r="S42" s="3">
        <v>8.8731236211629092</v>
      </c>
      <c r="T42" s="3">
        <v>11.4835092089182</v>
      </c>
      <c r="U42" s="3">
        <v>19.4560485552195</v>
      </c>
      <c r="V42" s="3">
        <v>14.264443697860401</v>
      </c>
    </row>
    <row r="43" spans="1:22" x14ac:dyDescent="0.35">
      <c r="A43" s="2">
        <v>43088</v>
      </c>
      <c r="B43" s="3">
        <v>15.883773443131201</v>
      </c>
      <c r="C43" s="3">
        <v>18.0925510672479</v>
      </c>
      <c r="D43" s="3">
        <v>17.383295915869699</v>
      </c>
      <c r="E43" s="3">
        <v>19.3696005975529</v>
      </c>
      <c r="F43" s="3">
        <v>12.4660585138648</v>
      </c>
      <c r="G43" s="3">
        <v>16.4200066452177</v>
      </c>
      <c r="H43" s="3">
        <v>17.754821244504299</v>
      </c>
      <c r="I43" s="3">
        <v>14.4221747480271</v>
      </c>
      <c r="J43" s="3">
        <v>17.0495742169634</v>
      </c>
      <c r="K43" s="3">
        <v>10.2103199664963</v>
      </c>
      <c r="L43" s="3">
        <v>14.4345725777968</v>
      </c>
      <c r="M43" s="3">
        <v>18.2554607520551</v>
      </c>
      <c r="N43" s="3">
        <v>20.2264472060229</v>
      </c>
      <c r="O43" s="3">
        <v>22.358360272557899</v>
      </c>
      <c r="P43" s="3">
        <v>15.205632452688899</v>
      </c>
      <c r="Q43" s="3">
        <v>13.567703986417399</v>
      </c>
      <c r="R43" s="3">
        <v>17.528350291509899</v>
      </c>
      <c r="S43" s="3">
        <v>8.7548755817557495</v>
      </c>
      <c r="T43" s="3">
        <v>11.6377534310996</v>
      </c>
      <c r="U43" s="3">
        <v>22.2838718951323</v>
      </c>
      <c r="V43" s="3">
        <v>14.400158386933599</v>
      </c>
    </row>
    <row r="44" spans="1:22" x14ac:dyDescent="0.35">
      <c r="A44" s="2">
        <v>43119</v>
      </c>
      <c r="B44" s="3">
        <v>16.6355174167564</v>
      </c>
      <c r="C44" s="3">
        <v>18.648569279420101</v>
      </c>
      <c r="D44" s="3">
        <v>18.316390032100799</v>
      </c>
      <c r="E44" s="3">
        <v>20.391917802458298</v>
      </c>
      <c r="F44" s="3">
        <v>13.1149051958614</v>
      </c>
      <c r="G44" s="3">
        <v>17.518967544239299</v>
      </c>
      <c r="H44" s="3">
        <v>18.6107229861185</v>
      </c>
      <c r="I44" s="3">
        <v>15.1019352475245</v>
      </c>
      <c r="J44" s="3">
        <v>17.3468242656093</v>
      </c>
      <c r="K44" s="3">
        <v>10.406522526024601</v>
      </c>
      <c r="L44" s="3">
        <v>15.6898453815019</v>
      </c>
      <c r="M44" s="3">
        <v>18.664463320571802</v>
      </c>
      <c r="N44" s="3">
        <v>22.410071644766301</v>
      </c>
      <c r="O44" s="3">
        <v>23.142871868630099</v>
      </c>
      <c r="P44" s="3">
        <v>16.3783065844923</v>
      </c>
      <c r="Q44" s="3">
        <v>13.656411868214599</v>
      </c>
      <c r="R44" s="3">
        <v>18.495153905728699</v>
      </c>
      <c r="S44" s="3">
        <v>8.9351747969682904</v>
      </c>
      <c r="T44" s="3">
        <v>12.402998025418199</v>
      </c>
      <c r="U44" s="3">
        <v>25.045463168864501</v>
      </c>
      <c r="V44" s="3">
        <v>15.1818488965322</v>
      </c>
    </row>
    <row r="45" spans="1:22" x14ac:dyDescent="0.35">
      <c r="A45" s="2">
        <v>43147</v>
      </c>
      <c r="B45" s="3">
        <v>15.156084948726701</v>
      </c>
      <c r="C45" s="3">
        <v>17.773130251275902</v>
      </c>
      <c r="D45" s="3">
        <v>17.849463154153302</v>
      </c>
      <c r="E45" s="3">
        <v>19.4385026382636</v>
      </c>
      <c r="F45" s="3">
        <v>12.1607282606849</v>
      </c>
      <c r="G45" s="3">
        <v>18.6939935479772</v>
      </c>
      <c r="H45" s="3">
        <v>18.501494293447202</v>
      </c>
      <c r="I45" s="3">
        <v>14.074231581699401</v>
      </c>
      <c r="J45" s="3">
        <v>17.849475738263099</v>
      </c>
      <c r="K45" s="3">
        <v>10.537924318453101</v>
      </c>
      <c r="L45" s="3">
        <v>16.144216100229102</v>
      </c>
      <c r="M45" s="3">
        <v>18.420986295528301</v>
      </c>
      <c r="N45" s="3">
        <v>24.061362925449</v>
      </c>
      <c r="O45" s="3">
        <v>21.737985308233799</v>
      </c>
      <c r="P45" s="3">
        <v>15.583100962264799</v>
      </c>
      <c r="Q45" s="3">
        <v>13.465328736650299</v>
      </c>
      <c r="R45" s="3">
        <v>18.038593484323801</v>
      </c>
      <c r="S45" s="3">
        <v>9.0810971146646207</v>
      </c>
      <c r="T45" s="3">
        <v>12.486228340794799</v>
      </c>
      <c r="U45" s="3">
        <v>23.829217979032698</v>
      </c>
      <c r="V45" s="3">
        <v>15.163831401904501</v>
      </c>
    </row>
    <row r="46" spans="1:22" x14ac:dyDescent="0.35">
      <c r="A46" s="2">
        <v>43178</v>
      </c>
      <c r="B46" s="3">
        <v>15.2384001198555</v>
      </c>
      <c r="C46" s="3">
        <v>17.326928173431501</v>
      </c>
      <c r="D46" s="3">
        <v>17.4187387150122</v>
      </c>
      <c r="E46" s="3">
        <v>19.210934705523901</v>
      </c>
      <c r="F46" s="3">
        <v>11.667683060017801</v>
      </c>
      <c r="G46" s="3">
        <v>19.456576031640001</v>
      </c>
      <c r="H46" s="3">
        <v>18.452770218356601</v>
      </c>
      <c r="I46" s="3">
        <v>14.500114939854001</v>
      </c>
      <c r="J46" s="3">
        <v>17.8250293750616</v>
      </c>
      <c r="K46" s="3">
        <v>10.5090126289238</v>
      </c>
      <c r="L46" s="3">
        <v>16.3013517203627</v>
      </c>
      <c r="M46" s="3">
        <v>18.1650751190672</v>
      </c>
      <c r="N46" s="3">
        <v>23.2737242271387</v>
      </c>
      <c r="O46" s="3">
        <v>21.451292943624299</v>
      </c>
      <c r="P46" s="3">
        <v>15.331791218539299</v>
      </c>
      <c r="Q46" s="3">
        <v>12.814113602608</v>
      </c>
      <c r="R46" s="3">
        <v>17.617769942296999</v>
      </c>
      <c r="S46" s="3">
        <v>9.1042631330738892</v>
      </c>
      <c r="T46" s="3">
        <v>12.3404006894835</v>
      </c>
      <c r="U46" s="3">
        <v>24.640557485922301</v>
      </c>
      <c r="V46" s="3">
        <v>15.1414371991088</v>
      </c>
    </row>
    <row r="47" spans="1:22" x14ac:dyDescent="0.35">
      <c r="A47" s="2">
        <v>43209</v>
      </c>
      <c r="B47" s="3">
        <v>14.8518197249749</v>
      </c>
      <c r="C47" s="3">
        <v>17.109355733115901</v>
      </c>
      <c r="D47" s="3">
        <v>17.2927017142385</v>
      </c>
      <c r="E47" s="3">
        <v>18.658879893934099</v>
      </c>
      <c r="F47" s="3">
        <v>11.8213419436862</v>
      </c>
      <c r="G47" s="3">
        <v>19.113982005914998</v>
      </c>
      <c r="H47" s="3">
        <v>18.392988870176701</v>
      </c>
      <c r="I47" s="3">
        <v>14.414712210132601</v>
      </c>
      <c r="J47" s="3">
        <v>17.773382372077101</v>
      </c>
      <c r="K47" s="3">
        <v>10.383214258046999</v>
      </c>
      <c r="L47" s="3">
        <v>16.017911414163599</v>
      </c>
      <c r="M47" s="3">
        <v>17.9101118961688</v>
      </c>
      <c r="N47" s="3">
        <v>22.9128610030962</v>
      </c>
      <c r="O47" s="3">
        <v>21.414020161589502</v>
      </c>
      <c r="P47" s="3">
        <v>14.906901024107</v>
      </c>
      <c r="Q47" s="3">
        <v>12.8335071199698</v>
      </c>
      <c r="R47" s="3">
        <v>17.383568297891198</v>
      </c>
      <c r="S47" s="3">
        <v>8.9116293391415606</v>
      </c>
      <c r="T47" s="3">
        <v>12.4090553899812</v>
      </c>
      <c r="U47" s="3">
        <v>24.264652533116799</v>
      </c>
      <c r="V47" s="3">
        <v>15.418903674243801</v>
      </c>
    </row>
    <row r="48" spans="1:22" x14ac:dyDescent="0.35">
      <c r="A48" s="2">
        <v>43238</v>
      </c>
      <c r="B48" s="3">
        <v>14.494615353540899</v>
      </c>
      <c r="C48" s="3">
        <v>16.576042224374</v>
      </c>
      <c r="D48" s="3">
        <v>16.406830798412201</v>
      </c>
      <c r="E48" s="3">
        <v>18.560466006059599</v>
      </c>
      <c r="F48" s="3">
        <v>11.6816643333133</v>
      </c>
      <c r="G48" s="3">
        <v>18.421060794298299</v>
      </c>
      <c r="H48" s="3">
        <v>18.136155135290899</v>
      </c>
      <c r="I48" s="3">
        <v>14.2816818209931</v>
      </c>
      <c r="J48" s="3">
        <v>17.187405408159901</v>
      </c>
      <c r="K48" s="3">
        <v>10.167126880683</v>
      </c>
      <c r="L48" s="3">
        <v>15.451328887681999</v>
      </c>
      <c r="M48" s="3">
        <v>17.444640835091501</v>
      </c>
      <c r="N48" s="3">
        <v>21.713815153881001</v>
      </c>
      <c r="O48" s="3">
        <v>21.074210512391598</v>
      </c>
      <c r="P48" s="3">
        <v>14.833194583079599</v>
      </c>
      <c r="Q48" s="3">
        <v>12.5656964727328</v>
      </c>
      <c r="R48" s="3">
        <v>17.258758765656999</v>
      </c>
      <c r="S48" s="3">
        <v>8.5241453025032197</v>
      </c>
      <c r="T48" s="3">
        <v>11.9474272291493</v>
      </c>
      <c r="U48" s="3">
        <v>24.1464660038178</v>
      </c>
      <c r="V48" s="3">
        <v>15.2966683315114</v>
      </c>
    </row>
    <row r="49" spans="1:22" x14ac:dyDescent="0.35">
      <c r="A49" s="2">
        <v>43270</v>
      </c>
      <c r="B49" s="3">
        <v>13.941643518736001</v>
      </c>
      <c r="C49" s="3">
        <v>15.7209629696624</v>
      </c>
      <c r="D49" s="3">
        <v>16.2309192179133</v>
      </c>
      <c r="E49" s="3">
        <v>18.061643918904</v>
      </c>
      <c r="F49" s="3">
        <v>11.3275749114819</v>
      </c>
      <c r="G49" s="3">
        <v>18.0525300740067</v>
      </c>
      <c r="H49" s="3">
        <v>17.6896237487286</v>
      </c>
      <c r="I49" s="3">
        <v>14.207099139134201</v>
      </c>
      <c r="J49" s="3">
        <v>17.1727051228489</v>
      </c>
      <c r="K49" s="3">
        <v>9.8952951414833006</v>
      </c>
      <c r="L49" s="3">
        <v>14.368662677783099</v>
      </c>
      <c r="M49" s="3">
        <v>16.863196900943802</v>
      </c>
      <c r="N49" s="3">
        <v>21.771151892438301</v>
      </c>
      <c r="O49" s="3">
        <v>21.227662345518201</v>
      </c>
      <c r="P49" s="3">
        <v>14.4986066618109</v>
      </c>
      <c r="Q49" s="3">
        <v>12.5708900832379</v>
      </c>
      <c r="R49" s="3">
        <v>16.5658545655801</v>
      </c>
      <c r="S49" s="3">
        <v>8.1235617454533102</v>
      </c>
      <c r="T49" s="3">
        <v>11.9217596531598</v>
      </c>
      <c r="U49" s="3">
        <v>22.4960548090312</v>
      </c>
      <c r="V49" s="3">
        <v>15.4866428897746</v>
      </c>
    </row>
    <row r="50" spans="1:22" x14ac:dyDescent="0.35">
      <c r="A50" s="2">
        <v>43300</v>
      </c>
      <c r="B50" s="3">
        <v>13.217131075184801</v>
      </c>
      <c r="C50" s="3">
        <v>15.4795376273765</v>
      </c>
      <c r="D50" s="3">
        <v>15.6585540281853</v>
      </c>
      <c r="E50" s="3">
        <v>17.709564003554998</v>
      </c>
      <c r="F50" s="3">
        <v>11.3202009314041</v>
      </c>
      <c r="G50" s="3">
        <v>17.323879797597701</v>
      </c>
      <c r="H50" s="3">
        <v>17.7251350011665</v>
      </c>
      <c r="I50" s="3">
        <v>14.0985793765888</v>
      </c>
      <c r="J50" s="3">
        <v>17.525621821683298</v>
      </c>
      <c r="K50" s="3">
        <v>9.6460327863424098</v>
      </c>
      <c r="L50" s="3">
        <v>14.283804574844901</v>
      </c>
      <c r="M50" s="3">
        <v>16.608169350180901</v>
      </c>
      <c r="N50" s="3">
        <v>21.273779609909301</v>
      </c>
      <c r="O50" s="3">
        <v>21.215218046145601</v>
      </c>
      <c r="P50" s="3">
        <v>14.1152568841297</v>
      </c>
      <c r="Q50" s="3">
        <v>12.5794313841229</v>
      </c>
      <c r="R50" s="3">
        <v>16.355242166283901</v>
      </c>
      <c r="S50" s="3">
        <v>7.7944613109610401</v>
      </c>
      <c r="T50" s="3">
        <v>12.234715838131301</v>
      </c>
      <c r="U50" s="3">
        <v>21.862233900295401</v>
      </c>
      <c r="V50" s="3">
        <v>15.6449542027357</v>
      </c>
    </row>
    <row r="51" spans="1:22" x14ac:dyDescent="0.35">
      <c r="A51" s="2">
        <v>43329</v>
      </c>
      <c r="B51" s="3">
        <v>12.4245753977471</v>
      </c>
      <c r="C51" s="3">
        <v>14.9892561298481</v>
      </c>
      <c r="D51" s="3">
        <v>15.5591073194015</v>
      </c>
      <c r="E51" s="3">
        <v>17.729108905273101</v>
      </c>
      <c r="F51" s="3">
        <v>11.521462239334699</v>
      </c>
      <c r="G51" s="3">
        <v>17.307515802610599</v>
      </c>
      <c r="H51" s="3">
        <v>17.7965788696396</v>
      </c>
      <c r="I51" s="3">
        <v>13.9320476708704</v>
      </c>
      <c r="J51" s="3">
        <v>17.0685936270302</v>
      </c>
      <c r="K51" s="3">
        <v>9.3487945085133894</v>
      </c>
      <c r="L51" s="3">
        <v>13.7382497780732</v>
      </c>
      <c r="M51" s="3">
        <v>16.044526892443798</v>
      </c>
      <c r="N51" s="3">
        <v>20.832916851787601</v>
      </c>
      <c r="O51" s="3">
        <v>22.126331673063401</v>
      </c>
      <c r="P51" s="3">
        <v>13.4716900753172</v>
      </c>
      <c r="Q51" s="3">
        <v>12.8103223924326</v>
      </c>
      <c r="R51" s="3">
        <v>16.252960903188001</v>
      </c>
      <c r="S51" s="3">
        <v>7.3637981023672401</v>
      </c>
      <c r="T51" s="3">
        <v>12.141241528519201</v>
      </c>
      <c r="U51" s="3">
        <v>21.992918427394599</v>
      </c>
      <c r="V51" s="3">
        <v>14.833070882039401</v>
      </c>
    </row>
    <row r="52" spans="1:22" x14ac:dyDescent="0.35">
      <c r="A52" s="2">
        <v>43362</v>
      </c>
      <c r="B52" s="3">
        <v>12.466613011702201</v>
      </c>
      <c r="C52" s="3">
        <v>15.3082138310695</v>
      </c>
      <c r="D52" s="3">
        <v>15.380589446623199</v>
      </c>
      <c r="E52" s="3">
        <v>16.465150470693299</v>
      </c>
      <c r="F52" s="3">
        <v>11.442753514935299</v>
      </c>
      <c r="G52" s="3">
        <v>16.332227578797202</v>
      </c>
      <c r="H52" s="3">
        <v>17.747783280488601</v>
      </c>
      <c r="I52" s="3">
        <v>13.7621237117195</v>
      </c>
      <c r="J52" s="3">
        <v>17.2565672628192</v>
      </c>
      <c r="K52" s="3">
        <v>9.3483393847110996</v>
      </c>
      <c r="L52" s="3">
        <v>13.272704834477301</v>
      </c>
      <c r="M52" s="3">
        <v>15.741040105765901</v>
      </c>
      <c r="N52" s="3">
        <v>21.838582057648502</v>
      </c>
      <c r="O52" s="3">
        <v>21.961933189793498</v>
      </c>
      <c r="P52" s="3">
        <v>13.1943223708916</v>
      </c>
      <c r="Q52" s="3">
        <v>13.066502198358201</v>
      </c>
      <c r="R52" s="3">
        <v>16.488878229200601</v>
      </c>
      <c r="S52" s="3">
        <v>7.5631916709303502</v>
      </c>
      <c r="T52" s="3">
        <v>12.7464552081669</v>
      </c>
      <c r="U52" s="3">
        <v>22.082425900368499</v>
      </c>
      <c r="V52" s="3">
        <v>14.630803109626299</v>
      </c>
    </row>
    <row r="53" spans="1:22" x14ac:dyDescent="0.35">
      <c r="A53" s="2">
        <v>43392</v>
      </c>
      <c r="B53" s="3">
        <v>11.675643226294801</v>
      </c>
      <c r="C53" s="3">
        <v>17.0616664866312</v>
      </c>
      <c r="D53" s="3">
        <v>15.099899587663201</v>
      </c>
      <c r="E53" s="3">
        <v>16.218931295107499</v>
      </c>
      <c r="F53" s="3">
        <v>11.311867770915001</v>
      </c>
      <c r="G53" s="3">
        <v>16.081767468061098</v>
      </c>
      <c r="H53" s="3">
        <v>17.003596152562299</v>
      </c>
      <c r="I53" s="3">
        <v>12.791194099604301</v>
      </c>
      <c r="J53" s="3">
        <v>16.472169275946101</v>
      </c>
      <c r="K53" s="3">
        <v>8.7891172346339097</v>
      </c>
      <c r="L53" s="3">
        <v>13.713619344294999</v>
      </c>
      <c r="M53" s="3">
        <v>14.5753944918256</v>
      </c>
      <c r="N53" s="3">
        <v>18.975298944846202</v>
      </c>
      <c r="O53" s="3">
        <v>20.281013665429999</v>
      </c>
      <c r="P53" s="3">
        <v>12.1505442755392</v>
      </c>
      <c r="Q53" s="3">
        <v>13.4096721525673</v>
      </c>
      <c r="R53" s="3">
        <v>15.7086820565004</v>
      </c>
      <c r="S53" s="3">
        <v>7.4051891772201799</v>
      </c>
      <c r="T53" s="3">
        <v>12.6261405933669</v>
      </c>
      <c r="U53" s="3">
        <v>20.182215767074201</v>
      </c>
      <c r="V53" s="3">
        <v>14.7209448734804</v>
      </c>
    </row>
    <row r="54" spans="1:22" x14ac:dyDescent="0.35">
      <c r="A54" s="2">
        <v>43423</v>
      </c>
      <c r="B54" s="3">
        <v>11.8005770369963</v>
      </c>
      <c r="C54" s="3">
        <v>17.477042479972098</v>
      </c>
      <c r="D54" s="3">
        <v>15.573068544459501</v>
      </c>
      <c r="E54" s="3">
        <v>16.024825682491802</v>
      </c>
      <c r="F54" s="3">
        <v>11.194970720215199</v>
      </c>
      <c r="G54" s="3">
        <v>16.9561235322995</v>
      </c>
      <c r="H54" s="3">
        <v>16.814716874480901</v>
      </c>
      <c r="I54" s="3">
        <v>12.6136086666548</v>
      </c>
      <c r="J54" s="3">
        <v>14.972946284731</v>
      </c>
      <c r="K54" s="3">
        <v>8.5413289224550901</v>
      </c>
      <c r="L54" s="3">
        <v>13.843242887145299</v>
      </c>
      <c r="M54" s="3">
        <v>14.85948639377</v>
      </c>
      <c r="N54" s="3">
        <v>18.072644486717302</v>
      </c>
      <c r="O54" s="3">
        <v>21.525490142393501</v>
      </c>
      <c r="P54" s="3">
        <v>12.2567147534618</v>
      </c>
      <c r="Q54" s="3">
        <v>13.967723150155599</v>
      </c>
      <c r="R54" s="3">
        <v>15.1791577986627</v>
      </c>
      <c r="S54" s="3">
        <v>6.9403756596030801</v>
      </c>
      <c r="T54" s="3">
        <v>13.0368801891521</v>
      </c>
      <c r="U54" s="3">
        <v>19.2699449400302</v>
      </c>
      <c r="V54" s="3">
        <v>14.506932855860599</v>
      </c>
    </row>
    <row r="55" spans="1:22" x14ac:dyDescent="0.35">
      <c r="A55" s="2">
        <v>43453</v>
      </c>
      <c r="B55" s="3">
        <v>11.064186343959699</v>
      </c>
      <c r="C55" s="3">
        <v>16.4856210189884</v>
      </c>
      <c r="D55" s="3">
        <v>15.672594966174101</v>
      </c>
      <c r="E55" s="3">
        <v>16.9587546276952</v>
      </c>
      <c r="F55" s="3">
        <v>11.749567924294899</v>
      </c>
      <c r="G55" s="3">
        <v>16.938858239839998</v>
      </c>
      <c r="H55" s="3">
        <v>16.618457098114</v>
      </c>
      <c r="I55" s="3">
        <v>12.6097438315585</v>
      </c>
      <c r="J55" s="3">
        <v>14.593906321169699</v>
      </c>
      <c r="K55" s="3">
        <v>8.3903243961158598</v>
      </c>
      <c r="L55" s="3">
        <v>13.435190397109</v>
      </c>
      <c r="M55" s="3">
        <v>14.6905653103403</v>
      </c>
      <c r="N55" s="3">
        <v>15.5077218911863</v>
      </c>
      <c r="O55" s="3">
        <v>21.9013149163919</v>
      </c>
      <c r="P55" s="3">
        <v>11.6140208617367</v>
      </c>
      <c r="Q55" s="3">
        <v>14.261864158520501</v>
      </c>
      <c r="R55" s="3">
        <v>14.6907390167044</v>
      </c>
      <c r="S55" s="3">
        <v>6.6932130918919501</v>
      </c>
      <c r="T55" s="3">
        <v>12.032724917674299</v>
      </c>
      <c r="U55" s="3">
        <v>18.7799108695719</v>
      </c>
      <c r="V55" s="3">
        <v>15.521338504151</v>
      </c>
    </row>
    <row r="56" spans="1:22" x14ac:dyDescent="0.35">
      <c r="A56" s="2">
        <v>43483</v>
      </c>
      <c r="B56" s="3">
        <v>11.158543953163701</v>
      </c>
      <c r="C56" s="3">
        <v>17.957046224406401</v>
      </c>
      <c r="D56" s="3">
        <v>16.432123721514699</v>
      </c>
      <c r="E56" s="3">
        <v>17.7490938435276</v>
      </c>
      <c r="F56" s="3">
        <v>11.7723150218439</v>
      </c>
      <c r="G56" s="3">
        <v>17.828242633511099</v>
      </c>
      <c r="H56" s="3">
        <v>16.967407743856501</v>
      </c>
      <c r="I56" s="3">
        <v>12.9637385311436</v>
      </c>
      <c r="J56" s="3">
        <v>15.568539496416401</v>
      </c>
      <c r="K56" s="3">
        <v>8.7608793870628592</v>
      </c>
      <c r="L56" s="3">
        <v>14.9022950850591</v>
      </c>
      <c r="M56" s="3">
        <v>15.319797997992399</v>
      </c>
      <c r="N56" s="3">
        <v>15.279626392214499</v>
      </c>
      <c r="O56" s="3">
        <v>21.560364886027699</v>
      </c>
      <c r="P56" s="3">
        <v>12.106016362224199</v>
      </c>
      <c r="Q56" s="3">
        <v>14.7747883795401</v>
      </c>
      <c r="R56" s="3">
        <v>14.7485165007504</v>
      </c>
      <c r="S56" s="3">
        <v>7.1317628703692302</v>
      </c>
      <c r="T56" s="3">
        <v>11.956436920481</v>
      </c>
      <c r="U56" s="3">
        <v>18.335582839087699</v>
      </c>
      <c r="V56" s="3">
        <v>16.856649673416101</v>
      </c>
    </row>
    <row r="57" spans="1:22" x14ac:dyDescent="0.35">
      <c r="A57" s="2">
        <v>43515</v>
      </c>
      <c r="B57" s="3">
        <v>12.044231523037499</v>
      </c>
      <c r="C57" s="3">
        <v>17.8621325088593</v>
      </c>
      <c r="D57" s="3">
        <v>16.022883708521199</v>
      </c>
      <c r="E57" s="3">
        <v>17.116224485037701</v>
      </c>
      <c r="F57" s="3">
        <v>11.447836720557801</v>
      </c>
      <c r="G57" s="3">
        <v>19.4974517001666</v>
      </c>
      <c r="H57" s="3">
        <v>17.153229613264301</v>
      </c>
      <c r="I57" s="3">
        <v>13.675595440675901</v>
      </c>
      <c r="J57" s="3">
        <v>15.557924931537</v>
      </c>
      <c r="K57" s="3">
        <v>9.8741703026392305</v>
      </c>
      <c r="L57" s="3">
        <v>15.2012940888059</v>
      </c>
      <c r="M57" s="3">
        <v>15.133260488585099</v>
      </c>
      <c r="N57" s="3">
        <v>18.7512946256556</v>
      </c>
      <c r="O57" s="3">
        <v>21.079197505505299</v>
      </c>
      <c r="P57" s="3">
        <v>12.6563610618658</v>
      </c>
      <c r="Q57" s="3">
        <v>13.3323773952105</v>
      </c>
      <c r="R57" s="3">
        <v>15.570044301568</v>
      </c>
      <c r="S57" s="3">
        <v>7.24080472174143</v>
      </c>
      <c r="T57" s="3">
        <v>12.2815278954628</v>
      </c>
      <c r="U57" s="3">
        <v>19.012823607099101</v>
      </c>
      <c r="V57" s="3">
        <v>17.338593178975302</v>
      </c>
    </row>
    <row r="58" spans="1:22" x14ac:dyDescent="0.35">
      <c r="A58" s="2">
        <v>43543</v>
      </c>
      <c r="B58" s="3">
        <v>12.719207726005401</v>
      </c>
      <c r="C58" s="3">
        <v>15.826844881902099</v>
      </c>
      <c r="D58" s="3">
        <v>15.898498121214899</v>
      </c>
      <c r="E58" s="3">
        <v>16.7504142826287</v>
      </c>
      <c r="F58" s="3">
        <v>11.6187326093238</v>
      </c>
      <c r="G58" s="3">
        <v>20.025176164200801</v>
      </c>
      <c r="H58" s="3">
        <v>17.0627407882642</v>
      </c>
      <c r="I58" s="3">
        <v>14.189659691926201</v>
      </c>
      <c r="J58" s="3">
        <v>15.39552469785</v>
      </c>
      <c r="K58" s="3">
        <v>10.1023166693526</v>
      </c>
      <c r="L58" s="3">
        <v>14.712559227517501</v>
      </c>
      <c r="M58" s="3">
        <v>15.3077900469311</v>
      </c>
      <c r="N58" s="3">
        <v>18.539158840665301</v>
      </c>
      <c r="O58" s="3">
        <v>21.7465963452591</v>
      </c>
      <c r="P58" s="3">
        <v>12.8774718068497</v>
      </c>
      <c r="Q58" s="3">
        <v>13.526831643578101</v>
      </c>
      <c r="R58" s="3">
        <v>16.159728118033598</v>
      </c>
      <c r="S58" s="3">
        <v>7.4828448902549196</v>
      </c>
      <c r="T58" s="3">
        <v>12.7804413957441</v>
      </c>
      <c r="U58" s="3">
        <v>19.7357151557873</v>
      </c>
      <c r="V58" s="3">
        <v>17.2525424243494</v>
      </c>
    </row>
    <row r="59" spans="1:22" x14ac:dyDescent="0.35">
      <c r="A59" s="2">
        <v>43573</v>
      </c>
      <c r="B59" s="3">
        <v>12.850893799322099</v>
      </c>
      <c r="C59" s="3">
        <v>15.7366059194631</v>
      </c>
      <c r="D59" s="3">
        <v>15.755407035165</v>
      </c>
      <c r="E59" s="3">
        <v>16.663799946189499</v>
      </c>
      <c r="F59" s="3">
        <v>11.6595359848644</v>
      </c>
      <c r="G59" s="3">
        <v>19.4007241632317</v>
      </c>
      <c r="H59" s="3">
        <v>16.8654058827969</v>
      </c>
      <c r="I59" s="3">
        <v>14.4803165338837</v>
      </c>
      <c r="J59" s="3">
        <v>15.484427202199001</v>
      </c>
      <c r="K59" s="3">
        <v>10.432401081323601</v>
      </c>
      <c r="L59" s="3">
        <v>14.193909453028001</v>
      </c>
      <c r="M59" s="3">
        <v>15.392248345754901</v>
      </c>
      <c r="N59" s="3">
        <v>18.438608637337602</v>
      </c>
      <c r="O59" s="3">
        <v>21.572625805931001</v>
      </c>
      <c r="P59" s="3">
        <v>12.9481365114158</v>
      </c>
      <c r="Q59" s="3">
        <v>13.631750933745501</v>
      </c>
      <c r="R59" s="3">
        <v>16.166773825101</v>
      </c>
      <c r="S59" s="3">
        <v>7.2370928304640296</v>
      </c>
      <c r="T59" s="3">
        <v>12.860768809334401</v>
      </c>
      <c r="U59" s="3">
        <v>19.659848877502</v>
      </c>
      <c r="V59" s="3">
        <v>17.542265958120701</v>
      </c>
    </row>
    <row r="60" spans="1:22" x14ac:dyDescent="0.35">
      <c r="A60" s="2">
        <v>43602</v>
      </c>
      <c r="B60" s="3">
        <v>12.364304838047399</v>
      </c>
      <c r="C60" s="3">
        <v>15.4770310117659</v>
      </c>
      <c r="D60" s="3">
        <v>14.963076598545101</v>
      </c>
      <c r="E60" s="3">
        <v>16.461170021686002</v>
      </c>
      <c r="F60" s="3">
        <v>11.3150919460141</v>
      </c>
      <c r="G60" s="3">
        <v>18.279444571411499</v>
      </c>
      <c r="H60" s="3">
        <v>16.730150016962501</v>
      </c>
      <c r="I60" s="3">
        <v>14.318508057500701</v>
      </c>
      <c r="J60" s="3">
        <v>15.1167270784936</v>
      </c>
      <c r="K60" s="3">
        <v>10.398321249077201</v>
      </c>
      <c r="L60" s="3">
        <v>13.8697883572829</v>
      </c>
      <c r="M60" s="3">
        <v>15.0356277580045</v>
      </c>
      <c r="N60" s="3">
        <v>17.715317761769601</v>
      </c>
      <c r="O60" s="3">
        <v>21.307190913606</v>
      </c>
      <c r="P60" s="3">
        <v>12.550654252544801</v>
      </c>
      <c r="Q60" s="3">
        <v>13.313204717487499</v>
      </c>
      <c r="R60" s="3">
        <v>15.9304085649686</v>
      </c>
      <c r="S60" s="3">
        <v>6.9508427176380598</v>
      </c>
      <c r="T60" s="3">
        <v>12.3347366789729</v>
      </c>
      <c r="U60" s="3">
        <v>19.522560991668801</v>
      </c>
      <c r="V60" s="3">
        <v>17.142379605479199</v>
      </c>
    </row>
    <row r="61" spans="1:22" x14ac:dyDescent="0.35">
      <c r="A61" s="2">
        <v>43635</v>
      </c>
      <c r="B61" s="3">
        <v>12.571806827278801</v>
      </c>
      <c r="C61" s="3">
        <v>15.7793249260137</v>
      </c>
      <c r="D61" s="3">
        <v>15.5571063918385</v>
      </c>
      <c r="E61" s="3">
        <v>16.716742150908299</v>
      </c>
      <c r="F61" s="3">
        <v>11.4956354801804</v>
      </c>
      <c r="G61" s="3">
        <v>17.774750757600302</v>
      </c>
      <c r="H61" s="3">
        <v>17.176794935617899</v>
      </c>
      <c r="I61" s="3">
        <v>14.7827544339869</v>
      </c>
      <c r="J61" s="3">
        <v>14.962467225752899</v>
      </c>
      <c r="K61" s="3">
        <v>10.8883457840647</v>
      </c>
      <c r="L61" s="3">
        <v>14.3262498515546</v>
      </c>
      <c r="M61" s="3">
        <v>15.055015732645</v>
      </c>
      <c r="N61" s="3">
        <v>17.785829931788999</v>
      </c>
      <c r="O61" s="3">
        <v>21.357516611092102</v>
      </c>
      <c r="P61" s="3">
        <v>12.5956374497576</v>
      </c>
      <c r="Q61" s="3">
        <v>13.692714469545299</v>
      </c>
      <c r="R61" s="3">
        <v>16.3553729490819</v>
      </c>
      <c r="S61" s="3">
        <v>7.2477560934075003</v>
      </c>
      <c r="T61" s="3">
        <v>12.820137273442199</v>
      </c>
      <c r="U61" s="3">
        <v>19.1739008766586</v>
      </c>
      <c r="V61" s="3">
        <v>17.4429596304882</v>
      </c>
    </row>
    <row r="62" spans="1:22" x14ac:dyDescent="0.35">
      <c r="A62" s="2">
        <v>43665</v>
      </c>
      <c r="B62" s="3">
        <v>12.5995819749724</v>
      </c>
      <c r="C62" s="3">
        <v>16.089577393399399</v>
      </c>
      <c r="D62" s="3">
        <v>16.088985314291701</v>
      </c>
      <c r="E62" s="3">
        <v>16.872901594597</v>
      </c>
      <c r="F62" s="3">
        <v>11.5790831174766</v>
      </c>
      <c r="G62" s="3">
        <v>18.3632048722809</v>
      </c>
      <c r="H62" s="3">
        <v>17.163712549470699</v>
      </c>
      <c r="I62" s="3">
        <v>15.091620250518799</v>
      </c>
      <c r="J62" s="3">
        <v>14.6912191136083</v>
      </c>
      <c r="K62" s="3">
        <v>11.315272886306699</v>
      </c>
      <c r="L62" s="3">
        <v>14.3026369599852</v>
      </c>
      <c r="M62" s="3">
        <v>14.858823308865199</v>
      </c>
      <c r="N62" s="3">
        <v>18.315077307906598</v>
      </c>
      <c r="O62" s="3">
        <v>21.140469531411501</v>
      </c>
      <c r="P62" s="3">
        <v>12.67069057234</v>
      </c>
      <c r="Q62" s="3">
        <v>13.849863089593599</v>
      </c>
      <c r="R62" s="3">
        <v>16.5600945890566</v>
      </c>
      <c r="S62" s="3">
        <v>7.5404507536744596</v>
      </c>
      <c r="T62" s="3">
        <v>13.084727694439501</v>
      </c>
      <c r="U62" s="3">
        <v>18.778797299832501</v>
      </c>
      <c r="V62" s="3">
        <v>17.695342478365902</v>
      </c>
    </row>
    <row r="63" spans="1:22" x14ac:dyDescent="0.35">
      <c r="A63" s="2">
        <v>43696</v>
      </c>
      <c r="B63" s="3">
        <v>12.565254551157301</v>
      </c>
      <c r="C63" s="3">
        <v>15.190054681372001</v>
      </c>
      <c r="D63" s="3">
        <v>15.8983863602284</v>
      </c>
      <c r="E63" s="3">
        <v>16.0987269652131</v>
      </c>
      <c r="F63" s="3">
        <v>10.9155684419437</v>
      </c>
      <c r="G63" s="3">
        <v>17.819770213001298</v>
      </c>
      <c r="H63" s="3">
        <v>16.822228976439099</v>
      </c>
      <c r="I63" s="3">
        <v>14.879645376021299</v>
      </c>
      <c r="J63" s="3">
        <v>14.211576241722501</v>
      </c>
      <c r="K63" s="3">
        <v>11.222005416669599</v>
      </c>
      <c r="L63" s="3">
        <v>14.1248056329686</v>
      </c>
      <c r="M63" s="3">
        <v>13.9783318521319</v>
      </c>
      <c r="N63" s="3">
        <v>18.5075796230192</v>
      </c>
      <c r="O63" s="3">
        <v>21.052666542371998</v>
      </c>
      <c r="P63" s="3">
        <v>12.3775098581688</v>
      </c>
      <c r="Q63" s="3">
        <v>13.285801647976699</v>
      </c>
      <c r="R63" s="3">
        <v>16.2607073966151</v>
      </c>
      <c r="S63" s="3">
        <v>7.4124805431789103</v>
      </c>
      <c r="T63" s="3">
        <v>13.697950405287401</v>
      </c>
      <c r="U63" s="3">
        <v>17.621049651205801</v>
      </c>
      <c r="V63" s="3">
        <v>17.893200267708899</v>
      </c>
    </row>
    <row r="64" spans="1:22" x14ac:dyDescent="0.35">
      <c r="A64" s="2">
        <v>43727</v>
      </c>
      <c r="B64" s="3">
        <v>12.941273724715799</v>
      </c>
      <c r="C64" s="3">
        <v>16.703673482530601</v>
      </c>
      <c r="D64" s="3">
        <v>15.913339335676101</v>
      </c>
      <c r="E64" s="3">
        <v>15.369397927345</v>
      </c>
      <c r="F64" s="3">
        <v>11.0757182198625</v>
      </c>
      <c r="G64" s="3">
        <v>17.266658379038201</v>
      </c>
      <c r="H64" s="3">
        <v>16.8709682225725</v>
      </c>
      <c r="I64" s="3">
        <v>15.561323587420199</v>
      </c>
      <c r="J64" s="3">
        <v>15.0868689841428</v>
      </c>
      <c r="K64" s="3">
        <v>12.011962449285299</v>
      </c>
      <c r="L64" s="3">
        <v>14.1679355252107</v>
      </c>
      <c r="M64" s="3">
        <v>13.911981092004501</v>
      </c>
      <c r="N64" s="3">
        <v>20.066777527357701</v>
      </c>
      <c r="O64" s="3">
        <v>20.700061725032</v>
      </c>
      <c r="P64" s="3">
        <v>12.5982264528848</v>
      </c>
      <c r="Q64" s="3">
        <v>14.0239589978433</v>
      </c>
      <c r="R64" s="3">
        <v>16.401697339773399</v>
      </c>
      <c r="S64" s="3">
        <v>7.6348480814686601</v>
      </c>
      <c r="T64" s="3">
        <v>14.5292953490339</v>
      </c>
      <c r="U64" s="3">
        <v>17.648790076494301</v>
      </c>
      <c r="V64" s="3">
        <v>18.049111904595499</v>
      </c>
    </row>
    <row r="65" spans="1:22" x14ac:dyDescent="0.35">
      <c r="A65" s="2">
        <v>43756</v>
      </c>
      <c r="B65" s="3">
        <v>12.825415028985701</v>
      </c>
      <c r="C65" s="3">
        <v>17.257701474651</v>
      </c>
      <c r="D65" s="3">
        <v>15.9073852043594</v>
      </c>
      <c r="E65" s="3">
        <v>15.1516552783187</v>
      </c>
      <c r="F65" s="3">
        <v>10.9181833431578</v>
      </c>
      <c r="G65" s="3">
        <v>17.0617567882393</v>
      </c>
      <c r="H65" s="3">
        <v>16.643812013449601</v>
      </c>
      <c r="I65" s="3">
        <v>15.991472428250599</v>
      </c>
      <c r="J65" s="3">
        <v>15.2751804814867</v>
      </c>
      <c r="K65" s="3">
        <v>12.3203838806772</v>
      </c>
      <c r="L65" s="3">
        <v>14.7412850772171</v>
      </c>
      <c r="M65" s="3">
        <v>13.6468775394099</v>
      </c>
      <c r="N65" s="3">
        <v>15.843927843864501</v>
      </c>
      <c r="O65" s="3">
        <v>21.8307187634848</v>
      </c>
      <c r="P65" s="3">
        <v>12.41739762313</v>
      </c>
      <c r="Q65" s="3">
        <v>14.2296104034892</v>
      </c>
      <c r="R65" s="3">
        <v>16.754557106490399</v>
      </c>
      <c r="S65" s="3">
        <v>7.5471659603359704</v>
      </c>
      <c r="T65" s="3">
        <v>14.250665008760199</v>
      </c>
      <c r="U65" s="3">
        <v>17.261140299125898</v>
      </c>
      <c r="V65" s="3">
        <v>17.817022319679701</v>
      </c>
    </row>
    <row r="66" spans="1:22" x14ac:dyDescent="0.35">
      <c r="A66" s="2">
        <v>43788</v>
      </c>
      <c r="B66" s="3">
        <v>13.022030335457201</v>
      </c>
      <c r="C66" s="3">
        <v>15.921140110333999</v>
      </c>
      <c r="D66" s="3">
        <v>16.296909818670301</v>
      </c>
      <c r="E66" s="3">
        <v>14.938642755987001</v>
      </c>
      <c r="F66" s="3">
        <v>10.9973969573406</v>
      </c>
      <c r="G66" s="3">
        <v>17.007576790808699</v>
      </c>
      <c r="H66" s="3">
        <v>16.9287880898782</v>
      </c>
      <c r="I66" s="3">
        <v>16.8669876006789</v>
      </c>
      <c r="J66" s="3">
        <v>15.4673644804109</v>
      </c>
      <c r="K66" s="3">
        <v>13.755855897068701</v>
      </c>
      <c r="L66" s="3">
        <v>15.153381578033001</v>
      </c>
      <c r="M66" s="3">
        <v>13.8622842773553</v>
      </c>
      <c r="N66" s="3">
        <v>15.4805093252631</v>
      </c>
      <c r="O66" s="3">
        <v>23.147149596041199</v>
      </c>
      <c r="P66" s="3">
        <v>12.5827360036618</v>
      </c>
      <c r="Q66" s="3">
        <v>14.173506860138099</v>
      </c>
      <c r="R66" s="3">
        <v>17.205080202224899</v>
      </c>
      <c r="S66" s="3">
        <v>8.3464920065529604</v>
      </c>
      <c r="T66" s="3">
        <v>14.425064772214199</v>
      </c>
      <c r="U66" s="3">
        <v>17.877852791816</v>
      </c>
      <c r="V66" s="3">
        <v>18.784404175507198</v>
      </c>
    </row>
    <row r="67" spans="1:22" x14ac:dyDescent="0.35">
      <c r="A67" s="2">
        <v>43818</v>
      </c>
      <c r="B67" s="3">
        <v>14.3659278940583</v>
      </c>
      <c r="C67" s="3">
        <v>15.5249230540773</v>
      </c>
      <c r="D67" s="3">
        <v>16.628611023555301</v>
      </c>
      <c r="E67" s="3">
        <v>14.716910045609101</v>
      </c>
      <c r="F67" s="3">
        <v>10.936502135420699</v>
      </c>
      <c r="G67" s="3">
        <v>17.471401276434701</v>
      </c>
      <c r="H67" s="3">
        <v>17.0856070452203</v>
      </c>
      <c r="I67" s="3">
        <v>17.424475380827602</v>
      </c>
      <c r="J67" s="3">
        <v>15.8668122854572</v>
      </c>
      <c r="K67" s="3">
        <v>14.4819032869182</v>
      </c>
      <c r="L67" s="3">
        <v>17.050080432068398</v>
      </c>
      <c r="M67" s="3">
        <v>14.619786041115701</v>
      </c>
      <c r="N67" s="3">
        <v>17.062537689581699</v>
      </c>
      <c r="O67" s="3">
        <v>23.407654712529901</v>
      </c>
      <c r="P67" s="3">
        <v>13.565387425757701</v>
      </c>
      <c r="Q67" s="3">
        <v>14.4706422980165</v>
      </c>
      <c r="R67" s="3">
        <v>16.896017916590299</v>
      </c>
      <c r="S67" s="3">
        <v>8.8237946384894208</v>
      </c>
      <c r="T67" s="3">
        <v>15.894751821683</v>
      </c>
      <c r="U67" s="3">
        <v>17.150744170940001</v>
      </c>
      <c r="V67" s="3">
        <v>19.781535711304901</v>
      </c>
    </row>
    <row r="68" spans="1:22" x14ac:dyDescent="0.35">
      <c r="A68" s="2">
        <v>43847</v>
      </c>
      <c r="B68" s="3">
        <v>14.8773719209135</v>
      </c>
      <c r="C68" s="3">
        <v>15.818748615774499</v>
      </c>
      <c r="D68" s="3">
        <v>17.538795944662901</v>
      </c>
      <c r="E68" s="3">
        <v>14.7748757658727</v>
      </c>
      <c r="F68" s="3">
        <v>11.1894287380336</v>
      </c>
      <c r="G68" s="3">
        <v>16.9697327177505</v>
      </c>
      <c r="H68" s="3">
        <v>17.0203790525232</v>
      </c>
      <c r="I68" s="3">
        <v>17.611204303885199</v>
      </c>
      <c r="J68" s="3">
        <v>16.4627156908284</v>
      </c>
      <c r="K68" s="3">
        <v>15.0578067545039</v>
      </c>
      <c r="L68" s="3">
        <v>17.366022494415301</v>
      </c>
      <c r="M68" s="3">
        <v>14.577417634848899</v>
      </c>
      <c r="N68" s="3">
        <v>18.813266967453199</v>
      </c>
      <c r="O68" s="3">
        <v>23.810625433115401</v>
      </c>
      <c r="P68" s="3">
        <v>14.1395606266508</v>
      </c>
      <c r="Q68" s="3">
        <v>15.398330544843301</v>
      </c>
      <c r="R68" s="3">
        <v>17.196096137042801</v>
      </c>
      <c r="S68" s="3">
        <v>9.5308743523123205</v>
      </c>
      <c r="T68" s="3">
        <v>16.1477028407873</v>
      </c>
      <c r="U68" s="3">
        <v>16.286064263014499</v>
      </c>
      <c r="V68" s="3">
        <v>20.244481063730301</v>
      </c>
    </row>
    <row r="69" spans="1:22" x14ac:dyDescent="0.35">
      <c r="A69" s="2">
        <v>43880</v>
      </c>
      <c r="B69" s="3">
        <v>14.663934570088101</v>
      </c>
      <c r="C69" s="3">
        <v>14.3424501179903</v>
      </c>
      <c r="D69" s="3">
        <v>16.528055614400198</v>
      </c>
      <c r="E69" s="3">
        <v>14.033784510807299</v>
      </c>
      <c r="F69" s="3">
        <v>11.4010295484282</v>
      </c>
      <c r="G69" s="3">
        <v>17.2868079055186</v>
      </c>
      <c r="H69" s="3">
        <v>16.384825956751001</v>
      </c>
      <c r="I69" s="3">
        <v>17.154881502159199</v>
      </c>
      <c r="J69" s="3">
        <v>16.4643852442744</v>
      </c>
      <c r="K69" s="3">
        <v>16.579391335221601</v>
      </c>
      <c r="L69" s="3">
        <v>17.0027666216629</v>
      </c>
      <c r="M69" s="3">
        <v>14.6221179110862</v>
      </c>
      <c r="N69" s="3">
        <v>15.690273846626299</v>
      </c>
      <c r="O69" s="3">
        <v>23.340896250971099</v>
      </c>
      <c r="P69" s="3">
        <v>13.9124710076395</v>
      </c>
      <c r="Q69" s="3">
        <v>14.216704561569999</v>
      </c>
      <c r="R69" s="3">
        <v>16.405070921883802</v>
      </c>
      <c r="S69" s="3">
        <v>9.0350682723956606</v>
      </c>
      <c r="T69" s="3">
        <v>15.128843686903901</v>
      </c>
      <c r="U69" s="3">
        <v>15.318857092167701</v>
      </c>
      <c r="V69" s="3">
        <v>18.464193294087799</v>
      </c>
    </row>
    <row r="70" spans="1:22" x14ac:dyDescent="0.35">
      <c r="A70" s="2">
        <v>43909</v>
      </c>
      <c r="B70" s="3">
        <v>13.976853602558201</v>
      </c>
      <c r="C70" s="3">
        <v>14.793111612917199</v>
      </c>
      <c r="D70" s="3">
        <v>14.095745377688001</v>
      </c>
      <c r="E70" s="3">
        <v>12.123985614142001</v>
      </c>
      <c r="F70" s="3">
        <v>9.4350161110712794</v>
      </c>
      <c r="G70" s="3">
        <v>15.7583052886333</v>
      </c>
      <c r="H70" s="3">
        <v>15.8154726181362</v>
      </c>
      <c r="I70" s="3">
        <v>15.633630820451099</v>
      </c>
      <c r="J70" s="3">
        <v>14.5237533233439</v>
      </c>
      <c r="K70" s="3">
        <v>14.3656617998592</v>
      </c>
      <c r="L70" s="3">
        <v>16.112047118541</v>
      </c>
      <c r="M70" s="3">
        <v>11.8632365289013</v>
      </c>
      <c r="N70" s="3">
        <v>11.702114809100101</v>
      </c>
      <c r="O70" s="3">
        <v>20.120776089042401</v>
      </c>
      <c r="P70" s="3">
        <v>12.6942949136401</v>
      </c>
      <c r="Q70" s="3">
        <v>13.6014479585097</v>
      </c>
      <c r="R70" s="3">
        <v>14.3588282220268</v>
      </c>
      <c r="S70" s="3">
        <v>7.7448260688899699</v>
      </c>
      <c r="T70" s="3">
        <v>13.930629646720201</v>
      </c>
      <c r="U70" s="3">
        <v>14.602411985469001</v>
      </c>
      <c r="V70" s="3">
        <v>17.076706537964998</v>
      </c>
    </row>
    <row r="71" spans="1:22" x14ac:dyDescent="0.35">
      <c r="A71" s="2">
        <v>43938</v>
      </c>
      <c r="B71" s="3">
        <v>14.117492309883501</v>
      </c>
      <c r="C71" s="3">
        <v>15.0457315775878</v>
      </c>
      <c r="D71" s="3">
        <v>14.224886242953101</v>
      </c>
      <c r="E71" s="3">
        <v>12.734780358750299</v>
      </c>
      <c r="F71" s="3">
        <v>10.235002675318899</v>
      </c>
      <c r="G71" s="3">
        <v>15.9093974125302</v>
      </c>
      <c r="H71" s="3">
        <v>16.497478793933901</v>
      </c>
      <c r="I71" s="3">
        <v>16.3074927523135</v>
      </c>
      <c r="J71" s="3">
        <v>14.543026860041801</v>
      </c>
      <c r="K71" s="3">
        <v>14.811320645929801</v>
      </c>
      <c r="L71" s="3">
        <v>16.479303673419299</v>
      </c>
      <c r="M71" s="3">
        <v>12.180306947665599</v>
      </c>
      <c r="N71" s="3">
        <v>11.9187737642511</v>
      </c>
      <c r="O71" s="3">
        <v>20.601763450873602</v>
      </c>
      <c r="P71" s="3">
        <v>13.135557404118799</v>
      </c>
      <c r="Q71" s="3">
        <v>13.6508831962907</v>
      </c>
      <c r="R71" s="3">
        <v>15.200579265009999</v>
      </c>
      <c r="S71" s="3">
        <v>7.8216030228637301</v>
      </c>
      <c r="T71" s="3">
        <v>15.1785186710938</v>
      </c>
      <c r="U71" s="3">
        <v>15.1866110581733</v>
      </c>
      <c r="V71" s="3">
        <v>17.501959428649201</v>
      </c>
    </row>
    <row r="72" spans="1:22" x14ac:dyDescent="0.35">
      <c r="A72" s="2">
        <v>43970</v>
      </c>
      <c r="B72" s="3">
        <v>14.375246906271499</v>
      </c>
      <c r="C72" s="3">
        <v>15.5067309286698</v>
      </c>
      <c r="D72" s="3">
        <v>14.531475316405</v>
      </c>
      <c r="E72" s="3">
        <v>13.4924796662036</v>
      </c>
      <c r="F72" s="3">
        <v>11.1584419056213</v>
      </c>
      <c r="G72" s="3">
        <v>17.643472889850401</v>
      </c>
      <c r="H72" s="3">
        <v>16.835249656748701</v>
      </c>
      <c r="I72" s="3">
        <v>16.517714734455001</v>
      </c>
      <c r="J72" s="3">
        <v>15.896905717788201</v>
      </c>
      <c r="K72" s="3">
        <v>15.077672607633</v>
      </c>
      <c r="L72" s="3">
        <v>17.983602033351101</v>
      </c>
      <c r="M72" s="3">
        <v>12.5360611661402</v>
      </c>
      <c r="N72" s="3">
        <v>12.310145674513199</v>
      </c>
      <c r="O72" s="3">
        <v>20.969363159888101</v>
      </c>
      <c r="P72" s="3">
        <v>13.419982700041899</v>
      </c>
      <c r="Q72" s="3">
        <v>14.266932110461701</v>
      </c>
      <c r="R72" s="3">
        <v>16.766187615067999</v>
      </c>
      <c r="S72" s="3">
        <v>8.3689289103352706</v>
      </c>
      <c r="T72" s="3">
        <v>16.1720086924044</v>
      </c>
      <c r="U72" s="3">
        <v>15.534142956857201</v>
      </c>
      <c r="V72" s="3">
        <v>18.646713137022601</v>
      </c>
    </row>
    <row r="73" spans="1:22" x14ac:dyDescent="0.35">
      <c r="A73" s="2">
        <v>44001</v>
      </c>
      <c r="B73" s="3">
        <v>14.8123871094528</v>
      </c>
      <c r="C73" s="3">
        <v>16.656509612067499</v>
      </c>
      <c r="D73" s="3">
        <v>16.608258548218</v>
      </c>
      <c r="E73" s="3">
        <v>15.286885626926001</v>
      </c>
      <c r="F73" s="3">
        <v>12.0864279480438</v>
      </c>
      <c r="G73" s="3">
        <v>20.915409562735299</v>
      </c>
      <c r="H73" s="3">
        <v>18.485291061397</v>
      </c>
      <c r="I73" s="3">
        <v>17.085263130326801</v>
      </c>
      <c r="J73" s="3">
        <v>17.718666777219202</v>
      </c>
      <c r="K73" s="3">
        <v>15.466551607818401</v>
      </c>
      <c r="L73" s="3">
        <v>20.305275818549799</v>
      </c>
      <c r="M73" s="3">
        <v>12.950131534387999</v>
      </c>
      <c r="N73" s="3">
        <v>14.761185520551001</v>
      </c>
      <c r="O73" s="3">
        <v>23.058971197689999</v>
      </c>
      <c r="P73" s="3">
        <v>14.126085786944</v>
      </c>
      <c r="Q73" s="3">
        <v>14.8386472642615</v>
      </c>
      <c r="R73" s="3">
        <v>18.189665573882401</v>
      </c>
      <c r="S73" s="3">
        <v>9.3242186709864203</v>
      </c>
      <c r="T73" s="3">
        <v>17.7346398185643</v>
      </c>
      <c r="U73" s="3">
        <v>16.250522260094801</v>
      </c>
      <c r="V73" s="3">
        <v>19.449213411328302</v>
      </c>
    </row>
    <row r="74" spans="1:22" x14ac:dyDescent="0.35">
      <c r="A74" s="2">
        <v>44029</v>
      </c>
      <c r="B74" s="3">
        <v>15.8239170303248</v>
      </c>
      <c r="C74" s="3">
        <v>17.2611759547868</v>
      </c>
      <c r="D74" s="3">
        <v>17.231997106142899</v>
      </c>
      <c r="E74" s="3">
        <v>15.7297409097603</v>
      </c>
      <c r="F74" s="3">
        <v>11.8939321850208</v>
      </c>
      <c r="G74" s="3">
        <v>22.456307793024902</v>
      </c>
      <c r="H74" s="3">
        <v>19.542504349580199</v>
      </c>
      <c r="I74" s="3">
        <v>17.577969874761301</v>
      </c>
      <c r="J74" s="3">
        <v>18.331731820092799</v>
      </c>
      <c r="K74" s="3">
        <v>15.6303146812546</v>
      </c>
      <c r="L74" s="3">
        <v>31.577443227656399</v>
      </c>
      <c r="M74" s="3">
        <v>13.4566174653121</v>
      </c>
      <c r="N74" s="3">
        <v>15.149413217094599</v>
      </c>
      <c r="O74" s="3">
        <v>24.438066850226299</v>
      </c>
      <c r="P74" s="3">
        <v>14.8515853380287</v>
      </c>
      <c r="Q74" s="3">
        <v>15.5187134613235</v>
      </c>
      <c r="R74" s="3">
        <v>18.8635082381629</v>
      </c>
      <c r="S74" s="3">
        <v>9.6985577681436901</v>
      </c>
      <c r="T74" s="3">
        <v>18.0935115879413</v>
      </c>
      <c r="U74" s="3">
        <v>16.5584325836918</v>
      </c>
      <c r="V74" s="3">
        <v>19.799341250386899</v>
      </c>
    </row>
    <row r="75" spans="1:22" x14ac:dyDescent="0.35">
      <c r="A75" s="2">
        <v>44062</v>
      </c>
      <c r="B75" s="3">
        <v>16.500583703633701</v>
      </c>
      <c r="C75" s="3">
        <v>19.6337291198423</v>
      </c>
      <c r="D75" s="3">
        <v>18.4616369780287</v>
      </c>
      <c r="E75" s="3">
        <v>17.774476481468501</v>
      </c>
      <c r="F75" s="3">
        <v>12.808724360181801</v>
      </c>
      <c r="G75" s="3">
        <v>29.340929991796099</v>
      </c>
      <c r="H75" s="3">
        <v>19.708851221224901</v>
      </c>
      <c r="I75" s="3">
        <v>17.638226495635902</v>
      </c>
      <c r="J75" s="3">
        <v>20.764457932994802</v>
      </c>
      <c r="K75" s="3">
        <v>16.239726661671099</v>
      </c>
      <c r="L75" s="3">
        <v>35.4401377598005</v>
      </c>
      <c r="M75" s="3">
        <v>13.4914255334913</v>
      </c>
      <c r="N75" s="3">
        <v>15.1814334134424</v>
      </c>
      <c r="O75" s="3">
        <v>25.6453643867377</v>
      </c>
      <c r="P75" s="3">
        <v>15.328751068171099</v>
      </c>
      <c r="Q75" s="3">
        <v>16.265363418858001</v>
      </c>
      <c r="R75" s="3">
        <v>20.129948515127399</v>
      </c>
      <c r="S75" s="3">
        <v>9.9718849910828897</v>
      </c>
      <c r="T75" s="3">
        <v>16.322889183004602</v>
      </c>
      <c r="U75" s="3">
        <v>16.756586719664298</v>
      </c>
      <c r="V75" s="3">
        <v>20.971997910677601</v>
      </c>
    </row>
    <row r="76" spans="1:22" x14ac:dyDescent="0.35">
      <c r="A76" s="2">
        <v>44092</v>
      </c>
      <c r="B76" s="3">
        <v>17.155711589577098</v>
      </c>
      <c r="C76" s="3">
        <v>19.156203054582001</v>
      </c>
      <c r="D76" s="3">
        <v>18.357434180889499</v>
      </c>
      <c r="E76" s="3">
        <v>18.630425339029301</v>
      </c>
      <c r="F76" s="3">
        <v>12.7143026648075</v>
      </c>
      <c r="G76" s="3">
        <v>36.148494645126704</v>
      </c>
      <c r="H76" s="3">
        <v>19.9202794109049</v>
      </c>
      <c r="I76" s="3">
        <v>17.320416818775101</v>
      </c>
      <c r="J76" s="3">
        <v>19.650489276817101</v>
      </c>
      <c r="K76" s="3">
        <v>16.427285119778698</v>
      </c>
      <c r="L76" s="3">
        <v>31.490504580276699</v>
      </c>
      <c r="M76" s="3">
        <v>13.3004800381916</v>
      </c>
      <c r="N76" s="3">
        <v>16.127407966863299</v>
      </c>
      <c r="O76" s="3">
        <v>26.110572814094098</v>
      </c>
      <c r="P76" s="3">
        <v>15.8381462711168</v>
      </c>
      <c r="Q76" s="3">
        <v>16.114415805458801</v>
      </c>
      <c r="R76" s="3">
        <v>21.2380988108761</v>
      </c>
      <c r="S76" s="3">
        <v>10.1096425396033</v>
      </c>
      <c r="T76" s="3">
        <v>17.710830114902599</v>
      </c>
      <c r="U76" s="3">
        <v>18.1113702593439</v>
      </c>
      <c r="V76" s="3">
        <v>24.3711002891358</v>
      </c>
    </row>
    <row r="77" spans="1:22" x14ac:dyDescent="0.35">
      <c r="A77" s="2">
        <v>44123</v>
      </c>
      <c r="B77" s="3">
        <v>17.473510614881</v>
      </c>
      <c r="C77" s="3">
        <v>19.675147108075201</v>
      </c>
      <c r="D77" s="3">
        <v>19.661410764475001</v>
      </c>
      <c r="E77" s="3">
        <v>20.143283316738501</v>
      </c>
      <c r="F77" s="3">
        <v>14.050752941866801</v>
      </c>
      <c r="G77" s="3">
        <v>37.466865158213999</v>
      </c>
      <c r="H77" s="3">
        <v>20.7543207050986</v>
      </c>
      <c r="I77" s="3">
        <v>17.216001921453699</v>
      </c>
      <c r="J77" s="3">
        <v>20.3865559063726</v>
      </c>
      <c r="K77" s="3">
        <v>15.999203560912999</v>
      </c>
      <c r="L77" s="3">
        <v>30.953181974570398</v>
      </c>
      <c r="M77" s="3">
        <v>13.284685473482501</v>
      </c>
      <c r="N77" s="3">
        <v>14.1900548072751</v>
      </c>
      <c r="O77" s="3">
        <v>26.788998165881701</v>
      </c>
      <c r="P77" s="3">
        <v>16.664443547044701</v>
      </c>
      <c r="Q77" s="3">
        <v>16.5524648007958</v>
      </c>
      <c r="R77" s="3">
        <v>21.047379100018802</v>
      </c>
      <c r="S77" s="3">
        <v>11.205608234161399</v>
      </c>
      <c r="T77" s="3">
        <v>16.679554507401399</v>
      </c>
      <c r="U77" s="3">
        <v>18.818833653697599</v>
      </c>
      <c r="V77" s="3">
        <v>25.964977544893799</v>
      </c>
    </row>
    <row r="78" spans="1:22" x14ac:dyDescent="0.35">
      <c r="A78" s="2">
        <v>44154</v>
      </c>
      <c r="B78" s="3">
        <v>18.123335698866899</v>
      </c>
      <c r="C78" s="3">
        <v>22.2606414642595</v>
      </c>
      <c r="D78" s="3">
        <v>22.482070336884501</v>
      </c>
      <c r="E78" s="3">
        <v>24.663688912909599</v>
      </c>
      <c r="F78" s="3">
        <v>19.1638915301784</v>
      </c>
      <c r="G78" s="3">
        <v>43.211964996096</v>
      </c>
      <c r="H78" s="3">
        <v>20.736163242682501</v>
      </c>
      <c r="I78" s="3">
        <v>17.4146337579921</v>
      </c>
      <c r="J78" s="3">
        <v>23.515330256434499</v>
      </c>
      <c r="K78" s="3">
        <v>17.080258315422402</v>
      </c>
      <c r="L78" s="3">
        <v>31.179713488843699</v>
      </c>
      <c r="M78" s="3">
        <v>13.5994006182076</v>
      </c>
      <c r="N78" s="3">
        <v>15.8575215123034</v>
      </c>
      <c r="O78" s="3">
        <v>27.180839013066102</v>
      </c>
      <c r="P78" s="3">
        <v>16.966198834196799</v>
      </c>
      <c r="Q78" s="3">
        <v>17.301205223010498</v>
      </c>
      <c r="R78" s="3">
        <v>22.933944871764499</v>
      </c>
      <c r="S78" s="3">
        <v>12.966356551535201</v>
      </c>
      <c r="T78" s="3">
        <v>25.787631105900601</v>
      </c>
      <c r="U78" s="3">
        <v>19.060860850231698</v>
      </c>
      <c r="V78" s="3">
        <v>26.843506585444199</v>
      </c>
    </row>
    <row r="79" spans="1:22" x14ac:dyDescent="0.35">
      <c r="A79" s="2">
        <v>44183</v>
      </c>
      <c r="B79" s="3">
        <v>19.176493857989499</v>
      </c>
      <c r="C79" s="3">
        <v>24.459375229503301</v>
      </c>
      <c r="D79" s="3">
        <v>26.136657211122099</v>
      </c>
      <c r="E79" s="3">
        <v>25.107933627826501</v>
      </c>
      <c r="F79" s="3">
        <v>21.557175834383699</v>
      </c>
      <c r="G79" s="3">
        <v>52.774709475552697</v>
      </c>
      <c r="H79" s="3">
        <v>21.351979644106599</v>
      </c>
      <c r="I79" s="3">
        <v>17.736148300054101</v>
      </c>
      <c r="J79" s="3">
        <v>31.8160610631625</v>
      </c>
      <c r="K79" s="3">
        <v>18.8079072720816</v>
      </c>
      <c r="L79" s="3">
        <v>35.649078448929103</v>
      </c>
      <c r="M79" s="3">
        <v>14.182395210707</v>
      </c>
      <c r="N79" s="3">
        <v>18.769582365064299</v>
      </c>
      <c r="O79" s="3">
        <v>32.807695965182901</v>
      </c>
      <c r="P79" s="3">
        <v>18.0774263000968</v>
      </c>
      <c r="Q79" s="3">
        <v>17.374956995952701</v>
      </c>
      <c r="R79" s="3">
        <v>25.6000251033519</v>
      </c>
      <c r="S79" s="3">
        <v>12.833714163548301</v>
      </c>
      <c r="T79" s="3">
        <v>24.497455730628499</v>
      </c>
      <c r="U79" s="3">
        <v>21.551040780360701</v>
      </c>
      <c r="V79" s="3">
        <v>28.2855289519322</v>
      </c>
    </row>
    <row r="80" spans="1:22" x14ac:dyDescent="0.35">
      <c r="A80" s="2">
        <v>44215</v>
      </c>
      <c r="B80" s="3">
        <v>20.950039911336098</v>
      </c>
      <c r="C80" s="3">
        <v>24.296111053692801</v>
      </c>
      <c r="D80" s="3">
        <v>25.560915941737498</v>
      </c>
      <c r="E80" s="3">
        <v>25.819387643908399</v>
      </c>
      <c r="F80" s="3">
        <v>22.403074807991601</v>
      </c>
      <c r="G80" s="3">
        <v>48.407225845930803</v>
      </c>
      <c r="H80" s="3">
        <v>20.491261109912401</v>
      </c>
      <c r="I80" s="3">
        <v>19.2926651198161</v>
      </c>
      <c r="J80" s="3">
        <v>31.915819720317302</v>
      </c>
      <c r="K80" s="3">
        <v>21.396569602066901</v>
      </c>
      <c r="L80" s="3">
        <v>31.252594574622901</v>
      </c>
      <c r="M80" s="3">
        <v>14.094322307177301</v>
      </c>
      <c r="N80" s="3">
        <v>17.8522632189684</v>
      </c>
      <c r="O80" s="3">
        <v>33.918747012891899</v>
      </c>
      <c r="P80" s="3">
        <v>20.550962987137101</v>
      </c>
      <c r="Q80" s="3">
        <v>17.6533444223755</v>
      </c>
      <c r="R80" s="3">
        <v>28.2876395401344</v>
      </c>
      <c r="S80" s="3">
        <v>13.8267293939435</v>
      </c>
      <c r="T80" s="3">
        <v>27.497274573196002</v>
      </c>
      <c r="U80" s="3">
        <v>23.551431866408901</v>
      </c>
      <c r="V80" s="3">
        <v>27.3933555922214</v>
      </c>
    </row>
    <row r="81" spans="1:22" x14ac:dyDescent="0.35">
      <c r="A81" s="2">
        <v>44246</v>
      </c>
      <c r="B81" s="3">
        <v>22.0819794585469</v>
      </c>
      <c r="C81" s="3">
        <v>26.5441935418261</v>
      </c>
      <c r="D81" s="3">
        <v>24.3868148531405</v>
      </c>
      <c r="E81" s="3">
        <v>24.269725050561799</v>
      </c>
      <c r="F81" s="3">
        <v>15.6322115077798</v>
      </c>
      <c r="G81" s="3">
        <v>60.785460767477801</v>
      </c>
      <c r="H81" s="3">
        <v>19.293794271825998</v>
      </c>
      <c r="I81" s="3">
        <v>19.193170260293801</v>
      </c>
      <c r="J81" s="3">
        <v>28.3133505685187</v>
      </c>
      <c r="K81" s="3">
        <v>21.358313202384998</v>
      </c>
      <c r="L81" s="3">
        <v>27.281226968484301</v>
      </c>
      <c r="M81" s="3">
        <v>14.3620749659281</v>
      </c>
      <c r="N81" s="3">
        <v>17.7312789069838</v>
      </c>
      <c r="O81" s="3">
        <v>32.278274172034202</v>
      </c>
      <c r="P81" s="3">
        <v>21.8725042729214</v>
      </c>
      <c r="Q81" s="3">
        <v>16.479393757636199</v>
      </c>
      <c r="R81" s="3">
        <v>27.776756898197299</v>
      </c>
      <c r="S81" s="3">
        <v>12.2331019420694</v>
      </c>
      <c r="T81" s="3">
        <v>28.0360120385131</v>
      </c>
      <c r="U81" s="3">
        <v>24.628002591727501</v>
      </c>
      <c r="V81" s="3">
        <v>26.596256814841201</v>
      </c>
    </row>
    <row r="82" spans="1:22" x14ac:dyDescent="0.35">
      <c r="A82" s="2">
        <v>44274</v>
      </c>
      <c r="B82" s="3">
        <v>19.769252485618502</v>
      </c>
      <c r="C82" s="3">
        <v>31.485475645591201</v>
      </c>
      <c r="D82" s="3">
        <v>23.748731861688</v>
      </c>
      <c r="E82" s="3">
        <v>22.425306084495499</v>
      </c>
      <c r="F82" s="3">
        <v>16.820782708252999</v>
      </c>
      <c r="G82" s="3">
        <v>64.414206215870095</v>
      </c>
      <c r="H82" s="3">
        <v>19.518565739248999</v>
      </c>
      <c r="I82" s="3">
        <v>18.420180570084899</v>
      </c>
      <c r="J82" s="3">
        <v>26.7951430972366</v>
      </c>
      <c r="K82" s="3">
        <v>20.108523786932</v>
      </c>
      <c r="L82" s="3">
        <v>20.0446275444801</v>
      </c>
      <c r="M82" s="3">
        <v>13.426464992661099</v>
      </c>
      <c r="N82" s="3">
        <v>17.535108704796301</v>
      </c>
      <c r="O82" s="3">
        <v>30.697568062360901</v>
      </c>
      <c r="P82" s="3">
        <v>19.585784400878701</v>
      </c>
      <c r="Q82" s="3">
        <v>16.7723060466381</v>
      </c>
      <c r="R82" s="3">
        <v>27.316512109573502</v>
      </c>
      <c r="S82" s="3">
        <v>11.350297524485301</v>
      </c>
      <c r="T82" s="3">
        <v>26.892319044804101</v>
      </c>
      <c r="U82" s="3">
        <v>24.065891145061499</v>
      </c>
      <c r="V82" s="3">
        <v>26.174753521174701</v>
      </c>
    </row>
    <row r="83" spans="1:22" x14ac:dyDescent="0.35">
      <c r="A83" s="2">
        <v>44305</v>
      </c>
      <c r="B83" s="3">
        <v>19.484871533482</v>
      </c>
      <c r="C83" s="3">
        <v>29.477647863152999</v>
      </c>
      <c r="D83" s="3">
        <v>22.928633146734299</v>
      </c>
      <c r="E83" s="3">
        <v>21.745042190929201</v>
      </c>
      <c r="F83" s="3">
        <v>16.3935792170609</v>
      </c>
      <c r="G83" s="3">
        <v>58.302301386579501</v>
      </c>
      <c r="H83" s="3">
        <v>18.8899686309855</v>
      </c>
      <c r="I83" s="3">
        <v>18.111827809990402</v>
      </c>
      <c r="J83" s="3">
        <v>25.653113307305201</v>
      </c>
      <c r="K83" s="3">
        <v>19.464609367302401</v>
      </c>
      <c r="L83" s="3">
        <v>18.732073175011799</v>
      </c>
      <c r="M83" s="3">
        <v>13.0497410352709</v>
      </c>
      <c r="N83" s="3">
        <v>17.278738665953099</v>
      </c>
      <c r="O83" s="3">
        <v>29.7822164610728</v>
      </c>
      <c r="P83" s="3">
        <v>19.219433654334502</v>
      </c>
      <c r="Q83" s="3">
        <v>16.651114864299</v>
      </c>
      <c r="R83" s="3">
        <v>26.533900980429198</v>
      </c>
      <c r="S83" s="3">
        <v>10.6486919918563</v>
      </c>
      <c r="T83" s="3">
        <v>25.4126743143357</v>
      </c>
      <c r="U83" s="3">
        <v>23.562705346902</v>
      </c>
      <c r="V83" s="3">
        <v>25.670980197994801</v>
      </c>
    </row>
    <row r="84" spans="1:22" x14ac:dyDescent="0.35">
      <c r="A84" s="2">
        <v>44335</v>
      </c>
      <c r="B84" s="3">
        <v>19.302468299657001</v>
      </c>
      <c r="C84" s="3">
        <v>26.471835556497702</v>
      </c>
      <c r="D84" s="3">
        <v>21.8793696444713</v>
      </c>
      <c r="E84" s="3">
        <v>21.1433443756763</v>
      </c>
      <c r="F84" s="3">
        <v>16.288482818537901</v>
      </c>
      <c r="G84" s="3">
        <v>52.847240031707898</v>
      </c>
      <c r="H84" s="3">
        <v>18.201361324910899</v>
      </c>
      <c r="I84" s="3">
        <v>16.932074934719999</v>
      </c>
      <c r="J84" s="3">
        <v>24.4850419679635</v>
      </c>
      <c r="K84" s="3">
        <v>17.8606100856477</v>
      </c>
      <c r="L84" s="3">
        <v>17.582510455732098</v>
      </c>
      <c r="M84" s="3">
        <v>12.6118424094369</v>
      </c>
      <c r="N84" s="3">
        <v>15.6531679763079</v>
      </c>
      <c r="O84" s="3">
        <v>29.4027042667195</v>
      </c>
      <c r="P84" s="3">
        <v>18.736423181001999</v>
      </c>
      <c r="Q84" s="3">
        <v>16.3550772077683</v>
      </c>
      <c r="R84" s="3">
        <v>25.163353716461501</v>
      </c>
      <c r="S84" s="3">
        <v>10.265564889980199</v>
      </c>
      <c r="T84" s="3">
        <v>24.268876930149201</v>
      </c>
      <c r="U84" s="3">
        <v>22.702930851575999</v>
      </c>
      <c r="V84" s="3">
        <v>24.947715060027701</v>
      </c>
    </row>
    <row r="85" spans="1:22" x14ac:dyDescent="0.35">
      <c r="A85" s="2">
        <v>44365</v>
      </c>
      <c r="B85" s="3">
        <v>19.0950189745454</v>
      </c>
      <c r="C85" s="3">
        <v>24.539770872960101</v>
      </c>
      <c r="D85" s="3">
        <v>21.2456348424985</v>
      </c>
      <c r="E85" s="3">
        <v>21.519452035809302</v>
      </c>
      <c r="F85" s="3">
        <v>15.715482138546299</v>
      </c>
      <c r="G85" s="3">
        <v>46.109046218130899</v>
      </c>
      <c r="H85" s="3">
        <v>17.688098900958099</v>
      </c>
      <c r="I85" s="3">
        <v>16.689512456470101</v>
      </c>
      <c r="J85" s="3">
        <v>23.430771870608002</v>
      </c>
      <c r="K85" s="3">
        <v>17.053031892714699</v>
      </c>
      <c r="L85" s="3">
        <v>16.580227871636801</v>
      </c>
      <c r="M85" s="3">
        <v>12.185773805541199</v>
      </c>
      <c r="N85" s="3">
        <v>17.035012889268899</v>
      </c>
      <c r="O85" s="3">
        <v>29.170731711585699</v>
      </c>
      <c r="P85" s="3">
        <v>18.743646753692399</v>
      </c>
      <c r="Q85" s="3">
        <v>16.019302680412999</v>
      </c>
      <c r="R85" s="3">
        <v>24.354752740030101</v>
      </c>
      <c r="S85" s="3">
        <v>9.5998406729087193</v>
      </c>
      <c r="T85" s="3">
        <v>23.522687237738399</v>
      </c>
      <c r="U85" s="3">
        <v>23.064176721055599</v>
      </c>
      <c r="V85" s="3">
        <v>24.508783892075002</v>
      </c>
    </row>
    <row r="86" spans="1:22" x14ac:dyDescent="0.35">
      <c r="A86" s="2">
        <v>44396</v>
      </c>
      <c r="B86" s="3">
        <v>18.730325234330099</v>
      </c>
      <c r="C86" s="3">
        <v>22.0513412729332</v>
      </c>
      <c r="D86" s="3">
        <v>20.302843413518701</v>
      </c>
      <c r="E86" s="3">
        <v>20.576976361723201</v>
      </c>
      <c r="F86" s="3">
        <v>14.7957403690863</v>
      </c>
      <c r="G86" s="3">
        <v>40.054806948631096</v>
      </c>
      <c r="H86" s="3">
        <v>16.829192821495699</v>
      </c>
      <c r="I86" s="3">
        <v>16.220629039685299</v>
      </c>
      <c r="J86" s="3">
        <v>21.710053213827099</v>
      </c>
      <c r="K86" s="3">
        <v>15.958266146666199</v>
      </c>
      <c r="L86" s="3">
        <v>14.9447615231495</v>
      </c>
      <c r="M86" s="3">
        <v>11.6453036550469</v>
      </c>
      <c r="N86" s="3">
        <v>15.717694638620801</v>
      </c>
      <c r="O86" s="3">
        <v>28.6206151378192</v>
      </c>
      <c r="P86" s="3">
        <v>18.067660808189601</v>
      </c>
      <c r="Q86" s="3">
        <v>15.508042905399201</v>
      </c>
      <c r="R86" s="3">
        <v>23.043596537323801</v>
      </c>
      <c r="S86" s="3">
        <v>8.9357208703342899</v>
      </c>
      <c r="T86" s="3">
        <v>22.0946707443835</v>
      </c>
      <c r="U86" s="3">
        <v>21.386792596297401</v>
      </c>
      <c r="V86" s="3">
        <v>23.5993744662883</v>
      </c>
    </row>
    <row r="87" spans="1:22" x14ac:dyDescent="0.35">
      <c r="A87" s="2">
        <v>44427</v>
      </c>
      <c r="B87" s="3">
        <v>18.032670204352701</v>
      </c>
      <c r="C87" s="3">
        <v>19.650136562379998</v>
      </c>
      <c r="D87" s="3">
        <v>19.876266122275702</v>
      </c>
      <c r="E87" s="3">
        <v>20.204597934058999</v>
      </c>
      <c r="F87" s="3">
        <v>14.225020165012401</v>
      </c>
      <c r="G87" s="3">
        <v>34.457735439799301</v>
      </c>
      <c r="H87" s="3">
        <v>16.0846539873822</v>
      </c>
      <c r="I87" s="3">
        <v>14.7999531322252</v>
      </c>
      <c r="J87" s="3">
        <v>20.5519000846685</v>
      </c>
      <c r="K87" s="3">
        <v>14.4171921363622</v>
      </c>
      <c r="L87" s="3">
        <v>13.129514438642699</v>
      </c>
      <c r="M87" s="3">
        <v>10.9662091038239</v>
      </c>
      <c r="N87" s="3">
        <v>15.5974434895512</v>
      </c>
      <c r="O87" s="3">
        <v>28.948741303587699</v>
      </c>
      <c r="P87" s="3">
        <v>16.442998401455998</v>
      </c>
      <c r="Q87" s="3">
        <v>15.502792407376999</v>
      </c>
      <c r="R87" s="3">
        <v>22.059258315921301</v>
      </c>
      <c r="S87" s="3">
        <v>8.3174660653012005</v>
      </c>
      <c r="T87" s="3">
        <v>21.167725524024299</v>
      </c>
      <c r="U87" s="3">
        <v>21.034639272444799</v>
      </c>
      <c r="V87" s="3">
        <v>23.132800225662699</v>
      </c>
    </row>
    <row r="88" spans="1:22" x14ac:dyDescent="0.35">
      <c r="A88" s="2">
        <v>44456</v>
      </c>
      <c r="B88" s="3">
        <v>17.989915515340499</v>
      </c>
      <c r="C88" s="3">
        <v>17.722131338506301</v>
      </c>
      <c r="D88" s="3">
        <v>19.330117255864302</v>
      </c>
      <c r="E88" s="3">
        <v>20.408542303877802</v>
      </c>
      <c r="F88" s="3">
        <v>13.7604588717401</v>
      </c>
      <c r="G88" s="3">
        <v>29.3783075285228</v>
      </c>
      <c r="H88" s="3">
        <v>15.892766560395099</v>
      </c>
      <c r="I88" s="3">
        <v>14.637268021652799</v>
      </c>
      <c r="J88" s="3">
        <v>19.190813240013199</v>
      </c>
      <c r="K88" s="3">
        <v>13.575190234192</v>
      </c>
      <c r="L88" s="3">
        <v>11.5935479111132</v>
      </c>
      <c r="M88" s="3">
        <v>10.683562186063201</v>
      </c>
      <c r="N88" s="3">
        <v>14.088278876497499</v>
      </c>
      <c r="O88" s="3">
        <v>29.591616812761</v>
      </c>
      <c r="P88" s="3">
        <v>16.387737249435801</v>
      </c>
      <c r="Q88" s="3">
        <v>15.355869524133301</v>
      </c>
      <c r="R88" s="3">
        <v>21.8549118874421</v>
      </c>
      <c r="S88" s="3">
        <v>7.7654360993651901</v>
      </c>
      <c r="T88" s="3">
        <v>20.330392814212701</v>
      </c>
      <c r="U88" s="3">
        <v>20.396814035604699</v>
      </c>
      <c r="V88" s="3">
        <v>22.631421486015199</v>
      </c>
    </row>
    <row r="89" spans="1:22" x14ac:dyDescent="0.35">
      <c r="A89" s="2">
        <v>44488</v>
      </c>
      <c r="B89" s="3">
        <v>17.9573137297524</v>
      </c>
      <c r="C89" s="3">
        <v>14.735671855979099</v>
      </c>
      <c r="D89" s="3">
        <v>19.671489491633501</v>
      </c>
      <c r="E89" s="3">
        <v>21.193826236868102</v>
      </c>
      <c r="F89" s="3">
        <v>13.994288515242401</v>
      </c>
      <c r="G89" s="3">
        <v>24.575668640691902</v>
      </c>
      <c r="H89" s="3">
        <v>15.6831583984966</v>
      </c>
      <c r="I89" s="3">
        <v>13.713369859748999</v>
      </c>
      <c r="J89" s="3">
        <v>17.689122745363001</v>
      </c>
      <c r="K89" s="3">
        <v>12.258834521028399</v>
      </c>
      <c r="L89" s="3">
        <v>10.127294937703899</v>
      </c>
      <c r="M89" s="3">
        <v>10.8754682076445</v>
      </c>
      <c r="N89" s="3">
        <v>14.215507891800501</v>
      </c>
      <c r="O89" s="3">
        <v>29.826359311747201</v>
      </c>
      <c r="P89" s="3">
        <v>16.406982451425598</v>
      </c>
      <c r="Q89" s="3">
        <v>15.516059119350601</v>
      </c>
      <c r="R89" s="3">
        <v>20.811929429394102</v>
      </c>
      <c r="S89" s="3">
        <v>7.06870067594686</v>
      </c>
      <c r="T89" s="3">
        <v>18.889613280584701</v>
      </c>
      <c r="U89" s="3">
        <v>20.137290399845501</v>
      </c>
      <c r="V89" s="3">
        <v>22.267736241646102</v>
      </c>
    </row>
    <row r="90" spans="1:22" x14ac:dyDescent="0.35">
      <c r="A90" s="2">
        <v>44519</v>
      </c>
      <c r="B90" s="3">
        <v>17.891192585070701</v>
      </c>
      <c r="C90" s="3">
        <v>12.462410570919401</v>
      </c>
      <c r="D90" s="3">
        <v>18.232455630338499</v>
      </c>
      <c r="E90" s="3">
        <v>20.3543974268174</v>
      </c>
      <c r="F90" s="3">
        <v>12.676935396026</v>
      </c>
      <c r="G90" s="3">
        <v>18.483493430573301</v>
      </c>
      <c r="H90" s="3">
        <v>14.563939411924601</v>
      </c>
      <c r="I90" s="3">
        <v>13.616011563441299</v>
      </c>
      <c r="J90" s="3">
        <v>16.214164112995899</v>
      </c>
      <c r="K90" s="3">
        <v>10.9369160595857</v>
      </c>
      <c r="L90" s="3">
        <v>8.2521911528602594</v>
      </c>
      <c r="M90" s="3">
        <v>10.593743065829999</v>
      </c>
      <c r="N90" s="3">
        <v>17.158851890240701</v>
      </c>
      <c r="O90" s="3">
        <v>28.879877991790501</v>
      </c>
      <c r="P90" s="3">
        <v>15.480091700179001</v>
      </c>
      <c r="Q90" s="3">
        <v>15.5972462382052</v>
      </c>
      <c r="R90" s="3">
        <v>20.076232555973601</v>
      </c>
      <c r="S90" s="3">
        <v>7.2652651537988602</v>
      </c>
      <c r="T90" s="3">
        <v>18.875528811750801</v>
      </c>
      <c r="U90" s="3">
        <v>19.533053357514699</v>
      </c>
      <c r="V90" s="3">
        <v>21.190360499673499</v>
      </c>
    </row>
    <row r="91" spans="1:22" x14ac:dyDescent="0.35">
      <c r="A91" s="2">
        <v>44547</v>
      </c>
      <c r="B91" s="3">
        <v>18.373096609856798</v>
      </c>
      <c r="C91" s="3">
        <v>10.304990671232099</v>
      </c>
      <c r="D91" s="3">
        <v>17.138532285797499</v>
      </c>
      <c r="E91" s="3">
        <v>20.0146997791466</v>
      </c>
      <c r="F91" s="3">
        <v>10.5524461947448</v>
      </c>
      <c r="G91" s="3">
        <v>13.502458255308101</v>
      </c>
      <c r="H91" s="3">
        <v>15.0916243126666</v>
      </c>
      <c r="I91" s="3">
        <v>12.933027917127699</v>
      </c>
      <c r="J91" s="3">
        <v>15.654731648184001</v>
      </c>
      <c r="K91" s="3">
        <v>10.1449715164848</v>
      </c>
      <c r="L91" s="3">
        <v>7.25498359524435</v>
      </c>
      <c r="M91" s="3">
        <v>10.3771504584901</v>
      </c>
      <c r="N91" s="3">
        <v>12.6848068054663</v>
      </c>
      <c r="O91" s="3">
        <v>28.079794687424201</v>
      </c>
      <c r="P91" s="3">
        <v>14.242117740592899</v>
      </c>
      <c r="Q91" s="3">
        <v>14.91549823655</v>
      </c>
      <c r="R91" s="3">
        <v>19.131083659226299</v>
      </c>
      <c r="S91" s="3">
        <v>7.7924291411646296</v>
      </c>
      <c r="T91" s="3">
        <v>18.078960449214399</v>
      </c>
      <c r="U91" s="3">
        <v>19.376303653360399</v>
      </c>
      <c r="V91" s="3">
        <v>19.8212980319474</v>
      </c>
    </row>
    <row r="92" spans="1:22" x14ac:dyDescent="0.35">
      <c r="A92" s="2">
        <v>44580</v>
      </c>
      <c r="B92" s="3">
        <v>17.388485316895899</v>
      </c>
      <c r="C92" s="3">
        <v>9.4536185449231507</v>
      </c>
      <c r="D92" s="3">
        <v>16.7910581891277</v>
      </c>
      <c r="E92" s="3">
        <v>19.588303657289998</v>
      </c>
      <c r="F92" s="3">
        <v>10.8837745896026</v>
      </c>
      <c r="G92" s="3">
        <v>12.6868164001837</v>
      </c>
      <c r="H92" s="3">
        <v>15.1523390215172</v>
      </c>
      <c r="I92" s="3">
        <v>12.920340690487601</v>
      </c>
      <c r="J92" s="3">
        <v>15.1078078656631</v>
      </c>
      <c r="K92" s="3">
        <v>9.2944944574282804</v>
      </c>
      <c r="L92" s="3">
        <v>6.7869658182480803</v>
      </c>
      <c r="M92" s="3">
        <v>10.6686256439242</v>
      </c>
      <c r="N92" s="3">
        <v>-65.559875195187203</v>
      </c>
      <c r="O92" s="3">
        <v>29.032229022759601</v>
      </c>
      <c r="P92" s="3">
        <v>14.1290601896062</v>
      </c>
      <c r="Q92" s="3">
        <v>15.5210969723377</v>
      </c>
      <c r="R92" s="3">
        <v>18.973778249406202</v>
      </c>
      <c r="S92" s="3">
        <v>7.0038013428302204</v>
      </c>
      <c r="T92" s="3">
        <v>16.871247891752802</v>
      </c>
      <c r="U92" s="3">
        <v>17.215668082865701</v>
      </c>
      <c r="V92" s="3">
        <v>21.261359892704501</v>
      </c>
    </row>
    <row r="93" spans="1:22" x14ac:dyDescent="0.35">
      <c r="A93" s="2">
        <v>44610</v>
      </c>
      <c r="B93" s="3">
        <v>16.829654634346401</v>
      </c>
      <c r="C93" s="3">
        <v>9.5143768690502508</v>
      </c>
      <c r="D93" s="3">
        <v>17.359709916281702</v>
      </c>
      <c r="E93" s="3">
        <v>19.713320476562199</v>
      </c>
      <c r="F93" s="3">
        <v>10.475895183487401</v>
      </c>
      <c r="G93" s="3">
        <v>12.428864512465299</v>
      </c>
      <c r="H93" s="3">
        <v>15.785419438946199</v>
      </c>
      <c r="I93" s="3">
        <v>12.807798338901801</v>
      </c>
      <c r="J93" s="3">
        <v>14.9773460602333</v>
      </c>
      <c r="K93" s="3">
        <v>9.4313286915912897</v>
      </c>
      <c r="L93" s="3">
        <v>7.0639481155764097</v>
      </c>
      <c r="M93" s="3">
        <v>11.2056224351668</v>
      </c>
      <c r="N93" s="3">
        <v>-185.93501798356201</v>
      </c>
      <c r="O93" s="3">
        <v>27.272674928349002</v>
      </c>
      <c r="P93" s="3">
        <v>13.839430254531599</v>
      </c>
      <c r="Q93" s="3">
        <v>16.083945381135599</v>
      </c>
      <c r="R93" s="3">
        <v>19.253631630880299</v>
      </c>
      <c r="S93" s="3">
        <v>6.1127965369325103</v>
      </c>
      <c r="T93" s="3">
        <v>16.833093273582602</v>
      </c>
      <c r="U93" s="3">
        <v>17.097549365917398</v>
      </c>
      <c r="V93" s="3">
        <v>21.422118175083799</v>
      </c>
    </row>
    <row r="94" spans="1:22" x14ac:dyDescent="0.35">
      <c r="A94" s="2">
        <v>44638</v>
      </c>
      <c r="B94" s="3">
        <v>16.336567526123599</v>
      </c>
      <c r="C94" s="3">
        <v>9.8632069940869105</v>
      </c>
      <c r="D94" s="3">
        <v>17.286847120297299</v>
      </c>
      <c r="E94" s="3">
        <v>19.024688555218901</v>
      </c>
      <c r="F94" s="3">
        <v>9.7964613138585008</v>
      </c>
      <c r="G94" s="3">
        <v>13.507443702062</v>
      </c>
      <c r="H94" s="3">
        <v>15.913844236274</v>
      </c>
      <c r="I94" s="3">
        <v>12.329813145551499</v>
      </c>
      <c r="J94" s="3">
        <v>15.0899650598723</v>
      </c>
      <c r="K94" s="3">
        <v>9.3410844341713393</v>
      </c>
      <c r="L94" s="3">
        <v>7.0412015288594096</v>
      </c>
      <c r="M94" s="3">
        <v>11.1492096822201</v>
      </c>
      <c r="N94" s="3">
        <v>-90.302537230509103</v>
      </c>
      <c r="O94" s="3">
        <v>26.3329208345402</v>
      </c>
      <c r="P94" s="3">
        <v>12.8295098272785</v>
      </c>
      <c r="Q94" s="3">
        <v>16.231953271445501</v>
      </c>
      <c r="R94" s="3">
        <v>18.788562463303599</v>
      </c>
      <c r="S94" s="3">
        <v>5.7617990426129504</v>
      </c>
      <c r="T94" s="3">
        <v>17.2480534672289</v>
      </c>
      <c r="U94" s="3">
        <v>16.325958434503299</v>
      </c>
      <c r="V94" s="3">
        <v>21.341516542580401</v>
      </c>
    </row>
    <row r="95" spans="1:22" x14ac:dyDescent="0.35">
      <c r="A95" s="2">
        <v>44670</v>
      </c>
      <c r="B95" s="3">
        <v>15.934432656101199</v>
      </c>
      <c r="C95" s="3">
        <v>9.8000690910114496</v>
      </c>
      <c r="D95" s="3">
        <v>16.883207758250499</v>
      </c>
      <c r="E95" s="3">
        <v>18.547529257710899</v>
      </c>
      <c r="F95" s="3">
        <v>9.4835243897051793</v>
      </c>
      <c r="G95" s="3">
        <v>12.772134524438</v>
      </c>
      <c r="H95" s="3">
        <v>15.8117757131877</v>
      </c>
      <c r="I95" s="3">
        <v>12.122168475517199</v>
      </c>
      <c r="J95" s="3">
        <v>14.9907831756682</v>
      </c>
      <c r="K95" s="3">
        <v>9.3574319059657398</v>
      </c>
      <c r="L95" s="3">
        <v>6.9429162298380698</v>
      </c>
      <c r="M95" s="3">
        <v>10.8734247019837</v>
      </c>
      <c r="N95" s="3">
        <v>-78.883604200053895</v>
      </c>
      <c r="O95" s="3">
        <v>25.896757336160199</v>
      </c>
      <c r="P95" s="3">
        <v>12.5792975808411</v>
      </c>
      <c r="Q95" s="3">
        <v>16.0208055599076</v>
      </c>
      <c r="R95" s="3">
        <v>18.537556690818398</v>
      </c>
      <c r="S95" s="3">
        <v>5.8189740750456496</v>
      </c>
      <c r="T95" s="3">
        <v>17.384399449908301</v>
      </c>
      <c r="U95" s="3">
        <v>15.955082925189499</v>
      </c>
      <c r="V95" s="3">
        <v>21.218708299514699</v>
      </c>
    </row>
    <row r="96" spans="1:22" x14ac:dyDescent="0.35">
      <c r="A96" s="2">
        <v>44700</v>
      </c>
      <c r="B96" s="3">
        <v>15.6664533353121</v>
      </c>
      <c r="C96" s="3">
        <v>9.4821771103160994</v>
      </c>
      <c r="D96" s="3">
        <v>16.244627340545101</v>
      </c>
      <c r="E96" s="3">
        <v>17.696783729461401</v>
      </c>
      <c r="F96" s="3">
        <v>8.6709947000005503</v>
      </c>
      <c r="G96" s="3">
        <v>11.7631859309266</v>
      </c>
      <c r="H96" s="3">
        <v>15.6233352196541</v>
      </c>
      <c r="I96" s="3">
        <v>11.891092398651899</v>
      </c>
      <c r="J96" s="3">
        <v>14.5124469869537</v>
      </c>
      <c r="K96" s="3">
        <v>9.2075863932799091</v>
      </c>
      <c r="L96" s="3">
        <v>6.5852388867730101</v>
      </c>
      <c r="M96" s="3">
        <v>10.495624475421501</v>
      </c>
      <c r="N96" s="3">
        <v>-68.841257236133998</v>
      </c>
      <c r="O96" s="3">
        <v>24.898182299657201</v>
      </c>
      <c r="P96" s="3">
        <v>12.477572606777301</v>
      </c>
      <c r="Q96" s="3">
        <v>15.3523758059433</v>
      </c>
      <c r="R96" s="3">
        <v>18.132998592113299</v>
      </c>
      <c r="S96" s="3">
        <v>5.4295951206236204</v>
      </c>
      <c r="T96" s="3">
        <v>16.720337721433701</v>
      </c>
      <c r="U96" s="3">
        <v>15.277372454247001</v>
      </c>
      <c r="V96" s="3">
        <v>20.1454405073484</v>
      </c>
    </row>
    <row r="97" spans="1:22" x14ac:dyDescent="0.35">
      <c r="A97" s="2">
        <v>44729</v>
      </c>
      <c r="B97" s="3">
        <v>15.8497997071801</v>
      </c>
      <c r="C97" s="3">
        <v>8.2157562399085293</v>
      </c>
      <c r="D97" s="3">
        <v>15.5724900914472</v>
      </c>
      <c r="E97" s="3">
        <v>17.182029115861098</v>
      </c>
      <c r="F97" s="3">
        <v>8.2073224847705202</v>
      </c>
      <c r="G97" s="3">
        <v>11.1419720517433</v>
      </c>
      <c r="H97" s="3">
        <v>15.188531773159401</v>
      </c>
      <c r="I97" s="3">
        <v>11.661732360932101</v>
      </c>
      <c r="J97" s="3">
        <v>13.8609256402419</v>
      </c>
      <c r="K97" s="3">
        <v>8.9566320390825993</v>
      </c>
      <c r="L97" s="3">
        <v>6.3338898932746703</v>
      </c>
      <c r="M97" s="3">
        <v>10.112455412348501</v>
      </c>
      <c r="N97" s="3">
        <v>-59.039505537568502</v>
      </c>
      <c r="O97" s="3">
        <v>24.228623984153899</v>
      </c>
      <c r="P97" s="3">
        <v>12.8586503330183</v>
      </c>
      <c r="Q97" s="3">
        <v>14.8549474964332</v>
      </c>
      <c r="R97" s="3">
        <v>17.5930026764097</v>
      </c>
      <c r="S97" s="3">
        <v>5.53229750345601</v>
      </c>
      <c r="T97" s="3">
        <v>15.995289075193</v>
      </c>
      <c r="U97" s="3">
        <v>14.7888310849411</v>
      </c>
      <c r="V97" s="3">
        <v>19.4591547658457</v>
      </c>
    </row>
    <row r="98" spans="1:22" x14ac:dyDescent="0.35">
      <c r="A98" s="2">
        <v>44761</v>
      </c>
      <c r="B98" s="3">
        <v>15.606622876408</v>
      </c>
      <c r="C98" s="3">
        <v>7.7668195451184801</v>
      </c>
      <c r="D98" s="3">
        <v>14.9278197562075</v>
      </c>
      <c r="E98" s="3">
        <v>16.539285991837701</v>
      </c>
      <c r="F98" s="3">
        <v>7.3179080420472804</v>
      </c>
      <c r="G98" s="3">
        <v>10.237157345002901</v>
      </c>
      <c r="H98" s="3">
        <v>14.967284005471599</v>
      </c>
      <c r="I98" s="3">
        <v>11.0509463174364</v>
      </c>
      <c r="J98" s="3">
        <v>13.597157171999401</v>
      </c>
      <c r="K98" s="3">
        <v>8.9638102206853105</v>
      </c>
      <c r="L98" s="3">
        <v>6.18771196988481</v>
      </c>
      <c r="M98" s="3">
        <v>10.2051810068248</v>
      </c>
      <c r="N98" s="3">
        <v>-48.468724002790999</v>
      </c>
      <c r="O98" s="3">
        <v>24.588702019398699</v>
      </c>
      <c r="P98" s="3">
        <v>12.749284936601599</v>
      </c>
      <c r="Q98" s="3">
        <v>14.6079224188883</v>
      </c>
      <c r="R98" s="3">
        <v>17.184894979173801</v>
      </c>
      <c r="S98" s="3">
        <v>5.1932407854988902</v>
      </c>
      <c r="T98" s="3">
        <v>15.4324060781002</v>
      </c>
      <c r="U98" s="3">
        <v>13.923020668686799</v>
      </c>
      <c r="V98" s="3">
        <v>19.183660614958999</v>
      </c>
    </row>
    <row r="99" spans="1:22" x14ac:dyDescent="0.35">
      <c r="A99" s="2">
        <v>44792</v>
      </c>
      <c r="B99" s="3">
        <v>15.233644946298501</v>
      </c>
      <c r="C99" s="3">
        <v>7.26039596310705</v>
      </c>
      <c r="D99" s="3">
        <v>14.8824117340719</v>
      </c>
      <c r="E99" s="3">
        <v>16.542186665876802</v>
      </c>
      <c r="F99" s="3">
        <v>7.0441054661580997</v>
      </c>
      <c r="G99" s="3">
        <v>9.9840500386843694</v>
      </c>
      <c r="H99" s="3">
        <v>15.302533839147999</v>
      </c>
      <c r="I99" s="3">
        <v>11.381454974425701</v>
      </c>
      <c r="J99" s="3">
        <v>13.580547643868201</v>
      </c>
      <c r="K99" s="3">
        <v>9.0939445855965708</v>
      </c>
      <c r="L99" s="3">
        <v>6.2202605671895004</v>
      </c>
      <c r="M99" s="3">
        <v>10.1402849520787</v>
      </c>
      <c r="N99" s="3">
        <v>-37.381473579408002</v>
      </c>
      <c r="O99" s="3">
        <v>25.896604042931301</v>
      </c>
      <c r="P99" s="3">
        <v>12.315284182945</v>
      </c>
      <c r="Q99" s="3">
        <v>15.7259921103922</v>
      </c>
      <c r="R99" s="3">
        <v>17.215120360851401</v>
      </c>
      <c r="S99" s="3">
        <v>4.9530704311270002</v>
      </c>
      <c r="T99" s="3">
        <v>15.593286564253299</v>
      </c>
      <c r="U99" s="3">
        <v>14.1302368072769</v>
      </c>
      <c r="V99" s="3">
        <v>19.1499911445758</v>
      </c>
    </row>
    <row r="100" spans="1:22" x14ac:dyDescent="0.35">
      <c r="A100" s="2">
        <v>44823</v>
      </c>
      <c r="B100" s="3">
        <v>14.5995761028103</v>
      </c>
      <c r="C100" s="3">
        <v>7.8211171323747504</v>
      </c>
      <c r="D100" s="3">
        <v>14.6825526050302</v>
      </c>
      <c r="E100" s="3">
        <v>15.374836942093101</v>
      </c>
      <c r="F100" s="3">
        <v>6.5698032383350702</v>
      </c>
      <c r="G100" s="3">
        <v>9.3874102137851505</v>
      </c>
      <c r="H100" s="3">
        <v>14.874602319290499</v>
      </c>
      <c r="I100" s="3">
        <v>10.866780451162301</v>
      </c>
      <c r="J100" s="3">
        <v>12.984969754316699</v>
      </c>
      <c r="K100" s="3">
        <v>8.7360583359116593</v>
      </c>
      <c r="L100" s="3">
        <v>6.1162143191898801</v>
      </c>
      <c r="M100" s="3">
        <v>9.6210170185514592</v>
      </c>
      <c r="N100" s="3">
        <v>-28.2501246481403</v>
      </c>
      <c r="O100" s="3">
        <v>25.629559979641598</v>
      </c>
      <c r="P100" s="3">
        <v>12.025147281310399</v>
      </c>
      <c r="Q100" s="3">
        <v>14.6280479208925</v>
      </c>
      <c r="R100" s="3">
        <v>16.835183260275901</v>
      </c>
      <c r="S100" s="3">
        <v>4.6904102222433499</v>
      </c>
      <c r="T100" s="3">
        <v>15.217873670329199</v>
      </c>
      <c r="U100" s="3">
        <v>13.7518418058776</v>
      </c>
      <c r="V100" s="3">
        <v>17.718022634262802</v>
      </c>
    </row>
    <row r="101" spans="1:22" x14ac:dyDescent="0.35">
      <c r="A101" s="2">
        <v>44853</v>
      </c>
      <c r="B101" s="3">
        <v>13.9762676870241</v>
      </c>
      <c r="C101" s="3">
        <v>7.1198774344431301</v>
      </c>
      <c r="D101" s="3">
        <v>13.6326881664671</v>
      </c>
      <c r="E101" s="3">
        <v>14.390948406168899</v>
      </c>
      <c r="F101" s="3">
        <v>6.4632955619420001</v>
      </c>
      <c r="G101" s="3">
        <v>9.1396794967913202</v>
      </c>
      <c r="H101" s="3">
        <v>14.5138720278119</v>
      </c>
      <c r="I101" s="3">
        <v>9.9528708749176396</v>
      </c>
      <c r="J101" s="3">
        <v>12.959990629897799</v>
      </c>
      <c r="K101" s="3">
        <v>8.7662706765482596</v>
      </c>
      <c r="L101" s="3">
        <v>6.3650064394311396</v>
      </c>
      <c r="M101" s="3">
        <v>9.57277859188485</v>
      </c>
      <c r="N101" s="3">
        <v>-17.909522371268501</v>
      </c>
      <c r="O101" s="3">
        <v>25.258125285875799</v>
      </c>
      <c r="P101" s="3">
        <v>10.877413241828799</v>
      </c>
      <c r="Q101" s="3">
        <v>14.0859095495316</v>
      </c>
      <c r="R101" s="3">
        <v>16.298614914570901</v>
      </c>
      <c r="S101" s="3">
        <v>4.88939513533946</v>
      </c>
      <c r="T101" s="3">
        <v>14.2486902407608</v>
      </c>
      <c r="U101" s="3">
        <v>12.5189595400137</v>
      </c>
      <c r="V101" s="3">
        <v>17.479942973078199</v>
      </c>
    </row>
    <row r="102" spans="1:22" x14ac:dyDescent="0.35">
      <c r="A102" s="2">
        <v>44883</v>
      </c>
      <c r="B102" s="3">
        <v>14.141408845608201</v>
      </c>
      <c r="C102" s="3">
        <v>5.8626442146699498</v>
      </c>
      <c r="D102" s="3">
        <v>13.3133602371159</v>
      </c>
      <c r="E102" s="3">
        <v>14.0323106552565</v>
      </c>
      <c r="F102" s="3">
        <v>6.1609067321498996</v>
      </c>
      <c r="G102" s="3">
        <v>9.9902139556029592</v>
      </c>
      <c r="H102" s="3">
        <v>14.6639002601583</v>
      </c>
      <c r="I102" s="3">
        <v>10.904499216036299</v>
      </c>
      <c r="J102" s="3">
        <v>13.6827809106345</v>
      </c>
      <c r="K102" s="3">
        <v>9.90019292475945</v>
      </c>
      <c r="L102" s="3">
        <v>5.92866871933421</v>
      </c>
      <c r="M102" s="3">
        <v>10.257914770355701</v>
      </c>
      <c r="N102" s="3">
        <v>-8.4227874259664404</v>
      </c>
      <c r="O102" s="3">
        <v>26.193331831496401</v>
      </c>
      <c r="P102" s="3">
        <v>11.6064122859015</v>
      </c>
      <c r="Q102" s="3">
        <v>13.798766909530499</v>
      </c>
      <c r="R102" s="3">
        <v>16.6285934220355</v>
      </c>
      <c r="S102" s="3">
        <v>4.9445778004334997</v>
      </c>
      <c r="T102" s="3">
        <v>13.8786796921988</v>
      </c>
      <c r="U102" s="3">
        <v>11.586388354645299</v>
      </c>
      <c r="V102" s="3">
        <v>16.843684805654199</v>
      </c>
    </row>
    <row r="103" spans="1:22" x14ac:dyDescent="0.35">
      <c r="A103" s="2">
        <v>44914</v>
      </c>
      <c r="B103" s="3">
        <v>14.192300932240901</v>
      </c>
      <c r="C103" s="3">
        <v>5.5095642686393198</v>
      </c>
      <c r="D103" s="3">
        <v>12.655825513648701</v>
      </c>
      <c r="E103" s="3">
        <v>13.2011033548029</v>
      </c>
      <c r="F103" s="3">
        <v>5.8904171146630304</v>
      </c>
      <c r="G103" s="3">
        <v>9.1431894221148209</v>
      </c>
      <c r="H103" s="3">
        <v>14.837208131019301</v>
      </c>
      <c r="I103" s="3">
        <v>10.9442820356194</v>
      </c>
      <c r="J103" s="3">
        <v>13.1145975732093</v>
      </c>
      <c r="K103" s="3">
        <v>9.7598488872637308</v>
      </c>
      <c r="L103" s="3">
        <v>5.4641275624366896</v>
      </c>
      <c r="M103" s="3">
        <v>10.196249527241701</v>
      </c>
      <c r="N103" s="3">
        <v>2.10353521544973</v>
      </c>
      <c r="O103" s="3">
        <v>26.621495254747099</v>
      </c>
      <c r="P103" s="3">
        <v>12.2100688953402</v>
      </c>
      <c r="Q103" s="3">
        <v>12.315473088674899</v>
      </c>
      <c r="R103" s="3">
        <v>16.460604590863799</v>
      </c>
      <c r="S103" s="3">
        <v>5.1787185309402801</v>
      </c>
      <c r="T103" s="3">
        <v>13.2732458055855</v>
      </c>
      <c r="U103" s="3">
        <v>12.0571477039248</v>
      </c>
      <c r="V103" s="3">
        <v>15.162771866784899</v>
      </c>
    </row>
    <row r="104" spans="1:22" x14ac:dyDescent="0.35">
      <c r="A104" s="2">
        <v>44945</v>
      </c>
      <c r="B104" s="3">
        <v>14.9657689215669</v>
      </c>
      <c r="C104" s="3">
        <v>5.45155876202546</v>
      </c>
      <c r="D104" s="3">
        <v>12.2856059739704</v>
      </c>
      <c r="E104" s="3">
        <v>14.7627577377805</v>
      </c>
      <c r="F104" s="3">
        <v>6.2086867075825802</v>
      </c>
      <c r="G104" s="3">
        <v>10.482752042666</v>
      </c>
      <c r="H104" s="3">
        <v>14.983994759240799</v>
      </c>
      <c r="I104" s="3">
        <v>11.590045314098701</v>
      </c>
      <c r="J104" s="3">
        <v>13.866881811040299</v>
      </c>
      <c r="K104" s="3">
        <v>10.321605892892499</v>
      </c>
      <c r="L104" s="3">
        <v>5.8788493322884197</v>
      </c>
      <c r="M104" s="3">
        <v>10.9588441762061</v>
      </c>
      <c r="N104" s="3">
        <v>6.2307220683497704</v>
      </c>
      <c r="O104" s="3">
        <v>25.8011551183452</v>
      </c>
      <c r="P104" s="3">
        <v>13.659967940047</v>
      </c>
      <c r="Q104" s="3">
        <v>12.2147641974955</v>
      </c>
      <c r="R104" s="3">
        <v>17.197090858081399</v>
      </c>
      <c r="S104" s="3">
        <v>5.2400207138324797</v>
      </c>
      <c r="T104" s="3">
        <v>12.517433058691999</v>
      </c>
      <c r="U104" s="3">
        <v>12.4448300014783</v>
      </c>
      <c r="V104" s="3">
        <v>15.886131280219599</v>
      </c>
    </row>
    <row r="105" spans="1:22" x14ac:dyDescent="0.35">
      <c r="A105" s="2">
        <v>44974</v>
      </c>
      <c r="B105" s="3">
        <v>14.5798814546035</v>
      </c>
      <c r="C105" s="3">
        <v>6.0032248626308897</v>
      </c>
      <c r="D105" s="3">
        <v>12.424075753101899</v>
      </c>
      <c r="E105" s="3">
        <v>13.911850961606801</v>
      </c>
      <c r="F105" s="3">
        <v>5.48617661069264</v>
      </c>
      <c r="G105" s="3">
        <v>9.7030728824846992</v>
      </c>
      <c r="H105" s="3">
        <v>14.670223854254299</v>
      </c>
      <c r="I105" s="3">
        <v>12.276135742131</v>
      </c>
      <c r="J105" s="3">
        <v>14.5960320478619</v>
      </c>
      <c r="K105" s="3">
        <v>10.9601398810318</v>
      </c>
      <c r="L105" s="3">
        <v>5.7529863104586703</v>
      </c>
      <c r="M105" s="3">
        <v>10.442023720342499</v>
      </c>
      <c r="N105" s="3">
        <v>7.8635528033780604</v>
      </c>
      <c r="O105" s="3">
        <v>25.1283307297312</v>
      </c>
      <c r="P105" s="3">
        <v>12.953230426953599</v>
      </c>
      <c r="Q105" s="3">
        <v>11.973478061407899</v>
      </c>
      <c r="R105" s="3">
        <v>17.459022972583899</v>
      </c>
      <c r="S105" s="3">
        <v>4.5653101267717702</v>
      </c>
      <c r="T105" s="3">
        <v>12.584540156944501</v>
      </c>
      <c r="U105" s="3">
        <v>12.8346897929567</v>
      </c>
      <c r="V105" s="3">
        <v>15.861587248266799</v>
      </c>
    </row>
    <row r="106" spans="1:22" x14ac:dyDescent="0.35">
      <c r="A106" s="2">
        <v>45002</v>
      </c>
      <c r="B106" s="3">
        <v>14.4383376947722</v>
      </c>
      <c r="C106" s="3">
        <v>5.8292091580898298</v>
      </c>
      <c r="D106" s="3">
        <v>11.9869557790695</v>
      </c>
      <c r="E106" s="3">
        <v>13.1297971496075</v>
      </c>
      <c r="F106" s="3">
        <v>5.9485996377065398</v>
      </c>
      <c r="G106" s="3">
        <v>9.3840156082920601</v>
      </c>
      <c r="H106" s="3">
        <v>14.7369647231037</v>
      </c>
      <c r="I106" s="3">
        <v>12.651017048781201</v>
      </c>
      <c r="J106" s="3">
        <v>14.451889593909</v>
      </c>
      <c r="K106" s="3">
        <v>11.2625443342494</v>
      </c>
      <c r="L106" s="3">
        <v>5.5383621655009598</v>
      </c>
      <c r="M106" s="3">
        <v>10.1421951527128</v>
      </c>
      <c r="N106" s="3">
        <v>7.6267419546798898</v>
      </c>
      <c r="O106" s="3">
        <v>23.919758928937899</v>
      </c>
      <c r="P106" s="3">
        <v>12.267919767485701</v>
      </c>
      <c r="Q106" s="3">
        <v>11.660418439947801</v>
      </c>
      <c r="R106" s="3">
        <v>17.285352288448099</v>
      </c>
      <c r="S106" s="3">
        <v>4.7196207805486798</v>
      </c>
      <c r="T106" s="3">
        <v>12.1111903861482</v>
      </c>
      <c r="U106" s="3">
        <v>12.408535061580199</v>
      </c>
      <c r="V106" s="3">
        <v>15.1169293565745</v>
      </c>
    </row>
    <row r="107" spans="1:22" x14ac:dyDescent="0.35">
      <c r="A107" s="2">
        <v>45035</v>
      </c>
      <c r="B107" s="3">
        <v>14.430742214744599</v>
      </c>
      <c r="C107" s="3">
        <v>6.1568315113359997</v>
      </c>
      <c r="D107" s="3">
        <v>12.1509028403726</v>
      </c>
      <c r="E107" s="3">
        <v>12.9350097156678</v>
      </c>
      <c r="F107" s="3">
        <v>6.0997538842903198</v>
      </c>
      <c r="G107" s="3">
        <v>9.6385398541076306</v>
      </c>
      <c r="H107" s="3">
        <v>14.6311801588193</v>
      </c>
      <c r="I107" s="3">
        <v>13.114020765465799</v>
      </c>
      <c r="J107" s="3">
        <v>14.362589756665299</v>
      </c>
      <c r="K107" s="3">
        <v>12.2187542827717</v>
      </c>
      <c r="L107" s="3">
        <v>5.7327258159049101</v>
      </c>
      <c r="M107" s="3">
        <v>10.2495582523718</v>
      </c>
      <c r="N107" s="3">
        <v>7.6754237145818003</v>
      </c>
      <c r="O107" s="3">
        <v>23.708282306677201</v>
      </c>
      <c r="P107" s="3">
        <v>12.2707580906531</v>
      </c>
      <c r="Q107" s="3">
        <v>11.597929701162499</v>
      </c>
      <c r="R107" s="3">
        <v>17.2552136942661</v>
      </c>
      <c r="S107" s="3">
        <v>4.6939788021080204</v>
      </c>
      <c r="T107" s="3">
        <v>12.07423355369</v>
      </c>
      <c r="U107" s="3">
        <v>12.874940128794201</v>
      </c>
      <c r="V107" s="3">
        <v>15.771860338754101</v>
      </c>
    </row>
    <row r="108" spans="1:22" x14ac:dyDescent="0.35">
      <c r="A108" s="2">
        <v>45065</v>
      </c>
      <c r="B108" s="3">
        <v>14.1493602696714</v>
      </c>
      <c r="C108" s="3">
        <v>6.6370918024145302</v>
      </c>
      <c r="D108" s="3">
        <v>12.111341882441399</v>
      </c>
      <c r="E108" s="3">
        <v>12.7983191252982</v>
      </c>
      <c r="F108" s="3">
        <v>6.2537875856223302</v>
      </c>
      <c r="G108" s="3">
        <v>9.6084794211169502</v>
      </c>
      <c r="H108" s="3">
        <v>14.549394438324599</v>
      </c>
      <c r="I108" s="3">
        <v>13.917926476626601</v>
      </c>
      <c r="J108" s="3">
        <v>14.081048080814099</v>
      </c>
      <c r="K108" s="3">
        <v>12.3412945629701</v>
      </c>
      <c r="L108" s="3">
        <v>6.0108465599486802</v>
      </c>
      <c r="M108" s="3">
        <v>10.059615527885899</v>
      </c>
      <c r="N108" s="3">
        <v>7.4971082373128404</v>
      </c>
      <c r="O108" s="3">
        <v>23.781467464882802</v>
      </c>
      <c r="P108" s="3">
        <v>11.965813050455701</v>
      </c>
      <c r="Q108" s="3">
        <v>11.788892452637</v>
      </c>
      <c r="R108" s="3">
        <v>17.078283602477999</v>
      </c>
      <c r="S108" s="3">
        <v>4.4752142824042398</v>
      </c>
      <c r="T108" s="3">
        <v>11.854860531473699</v>
      </c>
      <c r="U108" s="3">
        <v>13.334628558906299</v>
      </c>
      <c r="V108" s="3">
        <v>16.166994194634999</v>
      </c>
    </row>
    <row r="109" spans="1:22" x14ac:dyDescent="0.35">
      <c r="A109" s="2">
        <v>45093</v>
      </c>
      <c r="B109" s="3">
        <v>14.1658664058435</v>
      </c>
      <c r="C109" s="3">
        <v>6.8121619489389298</v>
      </c>
      <c r="D109" s="3">
        <v>13.0402822902539</v>
      </c>
      <c r="E109" s="3">
        <v>12.162666689326</v>
      </c>
      <c r="F109" s="3">
        <v>6.6344234446579797</v>
      </c>
      <c r="G109" s="3">
        <v>10.0848447379961</v>
      </c>
      <c r="H109" s="3">
        <v>14.542735678568899</v>
      </c>
      <c r="I109" s="3">
        <v>14.8580328093313</v>
      </c>
      <c r="J109" s="3">
        <v>13.7708782780714</v>
      </c>
      <c r="K109" s="3">
        <v>12.6527430301569</v>
      </c>
      <c r="L109" s="3">
        <v>6.5596013671791296</v>
      </c>
      <c r="M109" s="3">
        <v>10.251566741293299</v>
      </c>
      <c r="N109" s="3">
        <v>8.0272349814124997</v>
      </c>
      <c r="O109" s="3">
        <v>24.114606354876599</v>
      </c>
      <c r="P109" s="3">
        <v>12.1222210358317</v>
      </c>
      <c r="Q109" s="3">
        <v>11.8182812115295</v>
      </c>
      <c r="R109" s="3">
        <v>17.3049366540961</v>
      </c>
      <c r="S109" s="3">
        <v>4.8920828905051001</v>
      </c>
      <c r="T109" s="3">
        <v>11.8042196262035</v>
      </c>
      <c r="U109" s="3">
        <v>13.609215290958799</v>
      </c>
      <c r="V109" s="3">
        <v>16.661046344736501</v>
      </c>
    </row>
    <row r="110" spans="1:22" x14ac:dyDescent="0.35">
      <c r="A110" s="2">
        <v>45126</v>
      </c>
      <c r="B110" s="3">
        <v>13.822653302112201</v>
      </c>
      <c r="C110" s="3">
        <v>7.7546557412816499</v>
      </c>
      <c r="D110" s="3">
        <v>13.2076361924411</v>
      </c>
      <c r="E110" s="3">
        <v>11.9195080658239</v>
      </c>
      <c r="F110" s="3">
        <v>7.1125452695616396</v>
      </c>
      <c r="G110" s="3">
        <v>10.6075798655014</v>
      </c>
      <c r="H110" s="3">
        <v>14.5792690304411</v>
      </c>
      <c r="I110" s="3">
        <v>15.646432938800199</v>
      </c>
      <c r="J110" s="3">
        <v>13.3945090094699</v>
      </c>
      <c r="K110" s="3">
        <v>13.011908458494601</v>
      </c>
      <c r="L110" s="3">
        <v>6.9009377796707998</v>
      </c>
      <c r="M110" s="3">
        <v>10.613873004656</v>
      </c>
      <c r="N110" s="3">
        <v>8.1304944572241098</v>
      </c>
      <c r="O110" s="3">
        <v>24.299768956514502</v>
      </c>
      <c r="P110" s="3">
        <v>11.820806112278399</v>
      </c>
      <c r="Q110" s="3">
        <v>11.879833436898901</v>
      </c>
      <c r="R110" s="3">
        <v>17.351138456684598</v>
      </c>
      <c r="S110" s="3">
        <v>5.4733218920339599</v>
      </c>
      <c r="T110" s="3">
        <v>11.741718891689599</v>
      </c>
      <c r="U110" s="3">
        <v>13.5969423276043</v>
      </c>
      <c r="V110" s="3">
        <v>17.368563920010299</v>
      </c>
    </row>
    <row r="111" spans="1:22" x14ac:dyDescent="0.35">
      <c r="A111" s="2">
        <v>45156</v>
      </c>
      <c r="B111" s="3">
        <v>13.696998180568601</v>
      </c>
      <c r="C111" s="3">
        <v>7.8299019001615804</v>
      </c>
      <c r="D111" s="3">
        <v>13.392429381439401</v>
      </c>
      <c r="E111" s="3">
        <v>11.2777766601591</v>
      </c>
      <c r="F111" s="3">
        <v>6.7555974874825502</v>
      </c>
      <c r="G111" s="3">
        <v>10.807203460670401</v>
      </c>
      <c r="H111" s="3">
        <v>14.7379483151541</v>
      </c>
      <c r="I111" s="3">
        <v>15.760070295721199</v>
      </c>
      <c r="J111" s="3">
        <v>13.1611732409603</v>
      </c>
      <c r="K111" s="3">
        <v>12.9187902066527</v>
      </c>
      <c r="L111" s="3">
        <v>7.0205249363764599</v>
      </c>
      <c r="M111" s="3">
        <v>10.302625074509701</v>
      </c>
      <c r="N111" s="3">
        <v>7.49001405035684</v>
      </c>
      <c r="O111" s="3">
        <v>23.5769741796204</v>
      </c>
      <c r="P111" s="3">
        <v>11.543520925331</v>
      </c>
      <c r="Q111" s="3">
        <v>11.9755004739526</v>
      </c>
      <c r="R111" s="3">
        <v>17.379492790421299</v>
      </c>
      <c r="S111" s="3">
        <v>6.0469099183963904</v>
      </c>
      <c r="T111" s="3">
        <v>11.4912628027338</v>
      </c>
      <c r="U111" s="3">
        <v>14.320251146692501</v>
      </c>
      <c r="V111" s="3">
        <v>17.666924761421701</v>
      </c>
    </row>
    <row r="112" spans="1:22" x14ac:dyDescent="0.35">
      <c r="A112" s="2">
        <v>45188</v>
      </c>
      <c r="B112" s="3">
        <v>13.7936074197089</v>
      </c>
      <c r="C112" s="3">
        <v>7.9572096914205996</v>
      </c>
      <c r="D112" s="3">
        <v>13.5190485369484</v>
      </c>
      <c r="E112" s="3">
        <v>10.9993449330101</v>
      </c>
      <c r="F112" s="3">
        <v>6.8829919205531596</v>
      </c>
      <c r="G112" s="3">
        <v>11.002593562568499</v>
      </c>
      <c r="H112" s="3">
        <v>14.9519753766115</v>
      </c>
      <c r="I112" s="3">
        <v>16.334676810988299</v>
      </c>
      <c r="J112" s="3">
        <v>12.8500418491014</v>
      </c>
      <c r="K112" s="3">
        <v>13.7887922157642</v>
      </c>
      <c r="L112" s="3">
        <v>7.3024962747467397</v>
      </c>
      <c r="M112" s="3">
        <v>10.5437985886653</v>
      </c>
      <c r="N112" s="3">
        <v>7.0311139945838503</v>
      </c>
      <c r="O112" s="3">
        <v>23.9484221443001</v>
      </c>
      <c r="P112" s="3">
        <v>11.634273025085401</v>
      </c>
      <c r="Q112" s="3">
        <v>11.6834192682602</v>
      </c>
      <c r="R112" s="3">
        <v>17.3623546555045</v>
      </c>
      <c r="S112" s="3">
        <v>6.1519201674750201</v>
      </c>
      <c r="T112" s="3">
        <v>11.1101436320105</v>
      </c>
      <c r="U112" s="3">
        <v>15.368353702640199</v>
      </c>
      <c r="V112" s="3">
        <v>17.484024604832602</v>
      </c>
    </row>
    <row r="113" spans="1:37" x14ac:dyDescent="0.35">
      <c r="A113" s="2">
        <v>45218</v>
      </c>
      <c r="B113" s="3">
        <v>13.148841523963201</v>
      </c>
      <c r="C113" s="3">
        <v>7.8891764700855802</v>
      </c>
      <c r="D113" s="3">
        <v>13.0106165473851</v>
      </c>
      <c r="E113" s="3">
        <v>10.998065819484999</v>
      </c>
      <c r="F113" s="3">
        <v>7.3431733048083103</v>
      </c>
      <c r="G113" s="3">
        <v>10.698711704164699</v>
      </c>
      <c r="H113" s="3">
        <v>14.8575338964745</v>
      </c>
      <c r="I113" s="3">
        <v>16.471232192653201</v>
      </c>
      <c r="J113" s="3">
        <v>12.055463232767501</v>
      </c>
      <c r="K113" s="3">
        <v>13.554241182854399</v>
      </c>
      <c r="L113" s="3">
        <v>7.3133177033723697</v>
      </c>
      <c r="M113" s="3">
        <v>10.4836435399433</v>
      </c>
      <c r="N113" s="3">
        <v>6.7429175920183804</v>
      </c>
      <c r="O113" s="3">
        <v>23.530347525244501</v>
      </c>
      <c r="P113" s="3">
        <v>11.070221051453199</v>
      </c>
      <c r="Q113" s="3">
        <v>11.222750922707901</v>
      </c>
      <c r="R113" s="3">
        <v>16.718324748232298</v>
      </c>
      <c r="S113" s="3">
        <v>6.1863502084620299</v>
      </c>
      <c r="T113" s="3">
        <v>10.4098412007449</v>
      </c>
      <c r="U113" s="3">
        <v>15.331563821795701</v>
      </c>
      <c r="V113" s="3">
        <v>17.332787886054799</v>
      </c>
    </row>
    <row r="114" spans="1:37" x14ac:dyDescent="0.35">
      <c r="A114" s="2">
        <v>45247</v>
      </c>
      <c r="B114" s="3">
        <v>13.646340936996401</v>
      </c>
      <c r="C114" s="3">
        <v>8.1979994625374601</v>
      </c>
      <c r="D114" s="3">
        <v>13.281787827149801</v>
      </c>
      <c r="E114" s="3">
        <v>10.619685015424301</v>
      </c>
      <c r="F114" s="3">
        <v>7.4905205231438998</v>
      </c>
      <c r="G114" s="3">
        <v>11.8345568568955</v>
      </c>
      <c r="H114" s="3">
        <v>14.974351908864801</v>
      </c>
      <c r="I114" s="3">
        <v>17.2482601491919</v>
      </c>
      <c r="J114" s="3">
        <v>12.945413122472299</v>
      </c>
      <c r="K114" s="3">
        <v>14.157355112529901</v>
      </c>
      <c r="L114" s="3">
        <v>7.9845170298293899</v>
      </c>
      <c r="M114" s="3">
        <v>11.011749790951599</v>
      </c>
      <c r="N114" s="3">
        <v>6.74274797147695</v>
      </c>
      <c r="O114" s="3">
        <v>23.5450766346632</v>
      </c>
      <c r="P114" s="3">
        <v>11.2293349026467</v>
      </c>
      <c r="Q114" s="3">
        <v>11.681093539246501</v>
      </c>
      <c r="R114" s="3">
        <v>16.505892309580702</v>
      </c>
      <c r="S114" s="3">
        <v>5.6696664350803898</v>
      </c>
      <c r="T114" s="3">
        <v>10.384227229952501</v>
      </c>
      <c r="U114" s="3">
        <v>15.4223926206098</v>
      </c>
      <c r="V114" s="3">
        <v>18.480303562686899</v>
      </c>
    </row>
    <row r="115" spans="1:37" x14ac:dyDescent="0.35">
      <c r="A115" s="2">
        <v>45279</v>
      </c>
      <c r="B115" s="3">
        <v>13.1107012073644</v>
      </c>
      <c r="C115" s="3">
        <v>8.4737188351772197</v>
      </c>
      <c r="D115" s="3">
        <v>13.710086103263301</v>
      </c>
      <c r="E115" s="3">
        <v>10.0299413218669</v>
      </c>
      <c r="F115" s="3">
        <v>8.9715452440389907</v>
      </c>
      <c r="G115" s="3">
        <v>14.578703754807</v>
      </c>
      <c r="H115" s="3">
        <v>15.255022778299899</v>
      </c>
      <c r="I115" s="3">
        <v>18.376312988179201</v>
      </c>
      <c r="J115" s="3">
        <v>14.1544882729187</v>
      </c>
      <c r="K115" s="3">
        <v>14.9867309080448</v>
      </c>
      <c r="L115" s="3">
        <v>8.5348904978589708</v>
      </c>
      <c r="M115" s="3">
        <v>11.402037171314401</v>
      </c>
      <c r="N115" s="3">
        <v>6.3855567126185901</v>
      </c>
      <c r="O115" s="3">
        <v>25.463470457843002</v>
      </c>
      <c r="P115" s="3">
        <v>10.640451484334999</v>
      </c>
      <c r="Q115" s="3">
        <v>11.451180279396</v>
      </c>
      <c r="R115" s="3">
        <v>16.1421172352524</v>
      </c>
      <c r="S115" s="3">
        <v>5.5751141163113296</v>
      </c>
      <c r="T115" s="3">
        <v>9.9907836950039499</v>
      </c>
      <c r="U115" s="3">
        <v>16.127900519800999</v>
      </c>
      <c r="V115" s="3">
        <v>20.2925276317008</v>
      </c>
    </row>
    <row r="116" spans="1:37" x14ac:dyDescent="0.35">
      <c r="A116" s="2">
        <v>45310</v>
      </c>
      <c r="B116" s="3">
        <v>12.6042484748502</v>
      </c>
      <c r="C116" s="3">
        <v>8.4225331347773906</v>
      </c>
      <c r="D116" s="3">
        <v>13.998631703435899</v>
      </c>
      <c r="E116" s="3">
        <v>9.9583036088060002</v>
      </c>
      <c r="F116" s="3">
        <v>8.4326104985624504</v>
      </c>
      <c r="G116" s="3">
        <v>14.642261790835301</v>
      </c>
      <c r="H116" s="3">
        <v>15.2241818594928</v>
      </c>
      <c r="I116" s="3">
        <v>18.854788284631901</v>
      </c>
      <c r="J116" s="3">
        <v>13.5783213750837</v>
      </c>
      <c r="K116" s="3">
        <v>14.6743468014333</v>
      </c>
      <c r="L116" s="3">
        <v>8.1944037024025693</v>
      </c>
      <c r="M116" s="3">
        <v>10.895994661424</v>
      </c>
      <c r="N116" s="3">
        <v>6.4018853109471801</v>
      </c>
      <c r="O116" s="3">
        <v>25.8961788298286</v>
      </c>
      <c r="P116" s="3">
        <v>9.8764334629360704</v>
      </c>
      <c r="Q116" s="3">
        <v>11.6219825526401</v>
      </c>
      <c r="R116" s="3">
        <v>15.5578250883715</v>
      </c>
      <c r="S116" s="3">
        <v>5.7856444622573902</v>
      </c>
      <c r="T116" s="3">
        <v>10.2709324331144</v>
      </c>
      <c r="U116" s="3">
        <v>16.9093909033876</v>
      </c>
      <c r="V116" s="3">
        <v>21.0718389317312</v>
      </c>
    </row>
    <row r="117" spans="1:37" x14ac:dyDescent="0.35">
      <c r="A117" s="2">
        <v>45338</v>
      </c>
      <c r="B117" s="3">
        <v>12.975573087336601</v>
      </c>
      <c r="C117" s="3">
        <v>8.9349974473970004</v>
      </c>
      <c r="D117" s="3">
        <v>14.443967535811</v>
      </c>
      <c r="E117" s="3">
        <v>10.434961436927599</v>
      </c>
      <c r="F117" s="3">
        <v>8.9756541751215693</v>
      </c>
      <c r="G117" s="3">
        <v>15.099870460993801</v>
      </c>
      <c r="H117" s="3">
        <v>15.5497020186247</v>
      </c>
      <c r="I117" s="3">
        <v>19.510203132058098</v>
      </c>
      <c r="J117" s="3">
        <v>14.6998497277028</v>
      </c>
      <c r="K117" s="3">
        <v>16.733934797793399</v>
      </c>
      <c r="L117" s="3">
        <v>8.3211513292400294</v>
      </c>
      <c r="M117" s="3">
        <v>10.910776192047701</v>
      </c>
      <c r="N117" s="3">
        <v>6.6994419397394003</v>
      </c>
      <c r="O117" s="3">
        <v>26.3826492022873</v>
      </c>
      <c r="P117" s="3">
        <v>10.3981291487266</v>
      </c>
      <c r="Q117" s="3">
        <v>11.4621258239406</v>
      </c>
      <c r="R117" s="3">
        <v>16.368209024541901</v>
      </c>
      <c r="S117" s="3">
        <v>6.7427794377208796</v>
      </c>
      <c r="T117" s="3">
        <v>9.61770348224392</v>
      </c>
      <c r="U117" s="3">
        <v>17.005932390635</v>
      </c>
      <c r="V117" s="3">
        <v>21.5410166922372</v>
      </c>
    </row>
    <row r="118" spans="1:37" x14ac:dyDescent="0.35">
      <c r="A118" s="2">
        <v>45370</v>
      </c>
      <c r="B118" s="3">
        <v>13.573127169747</v>
      </c>
      <c r="C118" s="3">
        <v>7.2885855974860796</v>
      </c>
      <c r="D118" s="3">
        <v>14.1501773864898</v>
      </c>
      <c r="E118" s="3">
        <v>10.6457557951595</v>
      </c>
      <c r="F118" s="3">
        <v>8.9130022107551508</v>
      </c>
      <c r="G118" s="3">
        <v>15.2255952461039</v>
      </c>
      <c r="H118" s="3">
        <v>15.747220556689699</v>
      </c>
      <c r="I118" s="3">
        <v>19.8357190210487</v>
      </c>
      <c r="J118" s="3">
        <v>15.670731716916301</v>
      </c>
      <c r="K118" s="3">
        <v>16.084705950488299</v>
      </c>
      <c r="L118" s="3">
        <v>8.4044950589919605</v>
      </c>
      <c r="M118" s="3">
        <v>10.610581104385</v>
      </c>
      <c r="N118" s="3">
        <v>6.7626385862816099</v>
      </c>
      <c r="O118" s="3">
        <v>25.881912912517301</v>
      </c>
      <c r="P118" s="3">
        <v>10.4451978660748</v>
      </c>
      <c r="Q118" s="3">
        <v>11.445904462697101</v>
      </c>
      <c r="R118" s="3">
        <v>16.583667780210501</v>
      </c>
      <c r="S118" s="3">
        <v>6.5257603738840304</v>
      </c>
      <c r="T118" s="3">
        <v>9.4273981168958301</v>
      </c>
      <c r="U118" s="3">
        <v>18.631554793417301</v>
      </c>
      <c r="V118" s="3">
        <v>21.678889999759399</v>
      </c>
    </row>
    <row r="119" spans="1:37" x14ac:dyDescent="0.35">
      <c r="A119" s="2">
        <v>45401</v>
      </c>
      <c r="B119" s="3">
        <v>13.5774267510872</v>
      </c>
      <c r="C119" s="3">
        <v>7.3746129507830203</v>
      </c>
      <c r="D119" s="3">
        <v>13.739472386695301</v>
      </c>
      <c r="E119" s="3">
        <v>10.307968060386999</v>
      </c>
      <c r="F119" s="3">
        <v>8.8257020560694208</v>
      </c>
      <c r="G119" s="3">
        <v>15.115252068427599</v>
      </c>
      <c r="H119" s="3">
        <v>15.605171460216001</v>
      </c>
      <c r="I119" s="3">
        <v>19.4251222047094</v>
      </c>
      <c r="J119" s="3">
        <v>15.3840439063028</v>
      </c>
      <c r="K119" s="3">
        <v>15.409723136545701</v>
      </c>
      <c r="L119" s="3">
        <v>8.2886899325093992</v>
      </c>
      <c r="M119" s="3">
        <v>10.465098658759</v>
      </c>
      <c r="N119" s="3">
        <v>6.7586216024672598</v>
      </c>
      <c r="O119" s="3">
        <v>25.702961063232198</v>
      </c>
      <c r="P119" s="3">
        <v>10.3355153748369</v>
      </c>
      <c r="Q119" s="3">
        <v>11.2284039030464</v>
      </c>
      <c r="R119" s="3">
        <v>16.248973506937499</v>
      </c>
      <c r="S119" s="3">
        <v>6.5850341450289598</v>
      </c>
      <c r="T119" s="3">
        <v>9.3289000571329002</v>
      </c>
      <c r="U119" s="3">
        <v>17.998466141286599</v>
      </c>
      <c r="V119" s="3">
        <v>21.238748609421801</v>
      </c>
    </row>
    <row r="120" spans="1:37" x14ac:dyDescent="0.35">
      <c r="A120" s="2">
        <v>45429</v>
      </c>
      <c r="B120" s="3">
        <v>13.841492425193699</v>
      </c>
      <c r="C120" s="3">
        <v>8.2134482850469404</v>
      </c>
      <c r="D120" s="3">
        <v>13.6818584635477</v>
      </c>
      <c r="E120" s="3">
        <v>10.141356409152101</v>
      </c>
      <c r="F120" s="3">
        <v>9.0591821270737807</v>
      </c>
      <c r="G120" s="3">
        <v>15.452853756520399</v>
      </c>
      <c r="H120" s="3">
        <v>15.6821589669866</v>
      </c>
      <c r="I120" s="3">
        <v>19.796303016633999</v>
      </c>
      <c r="J120" s="3">
        <v>15.281131447992401</v>
      </c>
      <c r="K120" s="3">
        <v>14.945756894030801</v>
      </c>
      <c r="L120" s="3">
        <v>8.2215171015689901</v>
      </c>
      <c r="M120" s="3">
        <v>10.761256175408301</v>
      </c>
      <c r="N120" s="3">
        <v>6.8897370251047301</v>
      </c>
      <c r="O120" s="3">
        <v>25.671232705434001</v>
      </c>
      <c r="P120" s="3">
        <v>10.9430219265445</v>
      </c>
      <c r="Q120" s="3">
        <v>11.0733729111057</v>
      </c>
      <c r="R120" s="3">
        <v>16.295666885574601</v>
      </c>
      <c r="S120" s="3">
        <v>6.7542546092263196</v>
      </c>
      <c r="T120" s="3">
        <v>9.0829717345872094</v>
      </c>
      <c r="U120" s="3">
        <v>18.2825984846225</v>
      </c>
      <c r="V120" s="3">
        <v>20.764596574614298</v>
      </c>
    </row>
    <row r="121" spans="1:37" x14ac:dyDescent="0.35">
      <c r="A121" s="2">
        <v>45461</v>
      </c>
      <c r="B121" s="3">
        <v>13.5688442616497</v>
      </c>
      <c r="C121" s="3">
        <v>7.6525258306155397</v>
      </c>
      <c r="D121" s="3">
        <v>13.279379162975699</v>
      </c>
      <c r="E121" s="3">
        <v>9.9768697412518197</v>
      </c>
      <c r="F121" s="3">
        <v>9.0873553014130604</v>
      </c>
      <c r="G121" s="3">
        <v>14.3525176614828</v>
      </c>
      <c r="H121" s="3">
        <v>15.4481057122154</v>
      </c>
      <c r="I121" s="3">
        <v>19.9648847481633</v>
      </c>
      <c r="J121" s="3">
        <v>14.4958590968061</v>
      </c>
      <c r="K121" s="3">
        <v>14.371722437989</v>
      </c>
      <c r="L121" s="3">
        <v>7.8760574710061597</v>
      </c>
      <c r="M121" s="3">
        <v>10.8141107235337</v>
      </c>
      <c r="N121" s="3">
        <v>6.7879564044171303</v>
      </c>
      <c r="O121" s="3">
        <v>26.0093214359831</v>
      </c>
      <c r="P121" s="3">
        <v>10.524303482297301</v>
      </c>
      <c r="Q121" s="3">
        <v>10.895448311031</v>
      </c>
      <c r="R121" s="3">
        <v>15.718561809609</v>
      </c>
      <c r="S121" s="3">
        <v>6.7958502072863602</v>
      </c>
      <c r="T121" s="3">
        <v>8.9576767558164594</v>
      </c>
      <c r="U121" s="3">
        <v>17.8771118259037</v>
      </c>
      <c r="V121" s="3">
        <v>20.147573979371401</v>
      </c>
    </row>
    <row r="122" spans="1:37" x14ac:dyDescent="0.35">
      <c r="A122" s="2">
        <v>45491</v>
      </c>
      <c r="B122" s="3">
        <v>13.3438898806825</v>
      </c>
      <c r="C122" s="3">
        <v>8.0270306395636108</v>
      </c>
      <c r="D122" s="3">
        <v>13.556350028184699</v>
      </c>
      <c r="E122" s="3">
        <v>10.2394859281597</v>
      </c>
      <c r="F122" s="3">
        <v>9.1778478057619797</v>
      </c>
      <c r="G122" s="3">
        <v>14.192484765669599</v>
      </c>
      <c r="H122" s="3">
        <v>15.509176210118101</v>
      </c>
      <c r="I122" s="3">
        <v>20.023977050384801</v>
      </c>
      <c r="J122" s="3">
        <v>14.2277656815293</v>
      </c>
      <c r="K122" s="3">
        <v>13.844254800471401</v>
      </c>
      <c r="L122" s="3">
        <v>8.1077591936664106</v>
      </c>
      <c r="M122" s="3">
        <v>10.8126423521649</v>
      </c>
      <c r="N122" s="3">
        <v>6.7689718534393997</v>
      </c>
      <c r="O122" s="3">
        <v>26.398907746006198</v>
      </c>
      <c r="P122" s="3">
        <v>10.3691215784708</v>
      </c>
      <c r="Q122" s="3">
        <v>11.0731880800633</v>
      </c>
      <c r="R122" s="3">
        <v>15.610419819635901</v>
      </c>
      <c r="S122" s="3">
        <v>7.1532892516922502</v>
      </c>
      <c r="T122" s="3">
        <v>9.1445420295731399</v>
      </c>
      <c r="U122" s="3">
        <v>16.9046398822009</v>
      </c>
      <c r="V122" s="3">
        <v>20.415989426738101</v>
      </c>
    </row>
    <row r="124" spans="1:37" x14ac:dyDescent="0.35">
      <c r="A124" s="2" t="s">
        <v>91</v>
      </c>
      <c r="B124" s="3" cm="1">
        <f t="array" ref="B124">MIN(_xlfn._xlws.FILTER(B1:B122, ISNUMBER(B1:B122)))</f>
        <v>11.064186343959699</v>
      </c>
      <c r="C124" s="3" cm="1">
        <f t="array" ref="C124">MIN(_xlfn._xlws.FILTER(C1:C122, ISNUMBER(C1:C122)))</f>
        <v>5.45155876202546</v>
      </c>
      <c r="D124" s="3" cm="1">
        <f t="array" ref="D124">MIN(_xlfn._xlws.FILTER(D1:D122, ISNUMBER(D1:D122)))</f>
        <v>11.9869557790695</v>
      </c>
      <c r="E124" s="3" cm="1">
        <f t="array" ref="E124">MIN(_xlfn._xlws.FILTER(E1:E122, ISNUMBER(E1:E122)))</f>
        <v>9.9583036088060002</v>
      </c>
      <c r="F124" s="3" cm="1">
        <f t="array" ref="F124">MIN(_xlfn._xlws.FILTER(F1:F122, ISNUMBER(F1:F122)))</f>
        <v>5.48617661069264</v>
      </c>
      <c r="G124" s="3" cm="1">
        <f t="array" ref="G124">MIN(_xlfn._xlws.FILTER(G1:G122, ISNUMBER(G1:G122)))</f>
        <v>9.1396794967913202</v>
      </c>
      <c r="H124" s="3" cm="1">
        <f t="array" ref="H124">MIN(_xlfn._xlws.FILTER(H1:H122, ISNUMBER(H1:H122)))</f>
        <v>14.5138720278119</v>
      </c>
      <c r="I124" s="3" cm="1">
        <f t="array" ref="I124">MIN(_xlfn._xlws.FILTER(I1:I122, ISNUMBER(I1:I122)))</f>
        <v>9.9528708749176396</v>
      </c>
      <c r="J124" s="3" cm="1">
        <f t="array" ref="J124">MIN(_xlfn._xlws.FILTER(J1:J122, ISNUMBER(J1:J122)))</f>
        <v>12.055463232767501</v>
      </c>
      <c r="K124" s="3" cm="1">
        <f t="array" ref="K124">MIN(_xlfn._xlws.FILTER(K1:K122, ISNUMBER(K1:K122)))</f>
        <v>8.3903243961158598</v>
      </c>
      <c r="L124" s="3" cm="1">
        <f t="array" ref="L124">MIN(_xlfn._xlws.FILTER(L1:L122, ISNUMBER(L1:L122)))</f>
        <v>5.4641275624366896</v>
      </c>
      <c r="M124" s="3" cm="1">
        <f t="array" ref="M124">MIN(_xlfn._xlws.FILTER(M1:M122, ISNUMBER(M1:M122)))</f>
        <v>9.57277859188485</v>
      </c>
      <c r="N124" s="3" cm="1">
        <f t="array" ref="N124">MIN(_xlfn._xlws.FILTER(N1:N122, ISNUMBER(N1:N122)))</f>
        <v>-185.93501798356201</v>
      </c>
      <c r="O124" s="3" cm="1">
        <f t="array" ref="O124">MIN(_xlfn._xlws.FILTER(O1:O122, ISNUMBER(O1:O122)))</f>
        <v>17.2273349734471</v>
      </c>
      <c r="P124" s="3" cm="1">
        <f t="array" ref="P124">MIN(_xlfn._xlws.FILTER(P1:P122, ISNUMBER(P1:P122)))</f>
        <v>9.1762503797382902</v>
      </c>
      <c r="Q124" s="3" cm="1">
        <f t="array" ref="Q124">MIN(_xlfn._xlws.FILTER(Q1:Q122, ISNUMBER(Q1:Q122)))</f>
        <v>10.5197271803044</v>
      </c>
      <c r="R124" s="3" cm="1">
        <f t="array" ref="R124">MIN(_xlfn._xlws.FILTER(R1:R122, ISNUMBER(R1:R122)))</f>
        <v>14.163591534107599</v>
      </c>
      <c r="S124" s="3" cm="1">
        <f t="array" ref="S124">MIN(_xlfn._xlws.FILTER(S1:S122, ISNUMBER(S1:S122)))</f>
        <v>4.4752142824042398</v>
      </c>
      <c r="T124" s="3" cm="1">
        <f t="array" ref="T124">MIN(_xlfn._xlws.FILTER(T1:T122, ISNUMBER(T1:T122)))</f>
        <v>8.9576767558164594</v>
      </c>
      <c r="U124" s="3" cm="1">
        <f t="array" ref="U124">MIN(_xlfn._xlws.FILTER(U1:U122, ISNUMBER(U1:U122)))</f>
        <v>-4.7302215235906804</v>
      </c>
      <c r="V124" s="3" cm="1">
        <f t="array" ref="V124">MIN(_xlfn._xlws.FILTER(V1:V122, ISNUMBER(V1:V122)))</f>
        <v>10.6019883666102</v>
      </c>
    </row>
    <row r="125" spans="1:37" x14ac:dyDescent="0.35">
      <c r="A125" s="2" t="s">
        <v>92</v>
      </c>
      <c r="B125" s="3" cm="1">
        <f t="array" ref="B125">MAX(_xlfn._xlws.FILTER(B1:B122, ISNUMBER(B1:B122)))</f>
        <v>22.0819794585469</v>
      </c>
      <c r="C125" s="3" cm="1">
        <f t="array" ref="C125">MAX(_xlfn._xlws.FILTER(C1:C122, ISNUMBER(C1:C122)))</f>
        <v>31.485475645591201</v>
      </c>
      <c r="D125" s="3" cm="1">
        <f t="array" ref="D125">MAX(_xlfn._xlws.FILTER(D1:D122, ISNUMBER(D1:D122)))</f>
        <v>26.136657211122099</v>
      </c>
      <c r="E125" s="3" cm="1">
        <f t="array" ref="E125">MAX(_xlfn._xlws.FILTER(E1:E122, ISNUMBER(E1:E122)))</f>
        <v>25.819387643908399</v>
      </c>
      <c r="F125" s="3" cm="1">
        <f t="array" ref="F125">MAX(_xlfn._xlws.FILTER(F1:F122, ISNUMBER(F1:F122)))</f>
        <v>22.403074807991601</v>
      </c>
      <c r="G125" s="3" cm="1">
        <f t="array" ref="G125">MAX(_xlfn._xlws.FILTER(G1:G122, ISNUMBER(G1:G122)))</f>
        <v>64.414206215870095</v>
      </c>
      <c r="H125" s="3" cm="1">
        <f t="array" ref="H125">MAX(_xlfn._xlws.FILTER(H1:H122, ISNUMBER(H1:H122)))</f>
        <v>21.351979644106599</v>
      </c>
      <c r="I125" s="3" cm="1">
        <f t="array" ref="I125">MAX(_xlfn._xlws.FILTER(I1:I122, ISNUMBER(I1:I122)))</f>
        <v>20.023977050384801</v>
      </c>
      <c r="J125" s="3" cm="1">
        <f t="array" ref="J125">MAX(_xlfn._xlws.FILTER(J1:J122, ISNUMBER(J1:J122)))</f>
        <v>31.915819720317302</v>
      </c>
      <c r="K125" s="3" cm="1">
        <f t="array" ref="K125">MAX(_xlfn._xlws.FILTER(K1:K122, ISNUMBER(K1:K122)))</f>
        <v>21.396569602066901</v>
      </c>
      <c r="L125" s="3" cm="1">
        <f t="array" ref="L125">MAX(_xlfn._xlws.FILTER(L1:L122, ISNUMBER(L1:L122)))</f>
        <v>35.649078448929103</v>
      </c>
      <c r="M125" s="3" cm="1">
        <f t="array" ref="M125">MAX(_xlfn._xlws.FILTER(M1:M122, ISNUMBER(M1:M122)))</f>
        <v>18.821638041698101</v>
      </c>
      <c r="N125" s="3" cm="1">
        <f t="array" ref="N125">MAX(_xlfn._xlws.FILTER(N1:N122, ISNUMBER(N1:N122)))</f>
        <v>24.061362925449</v>
      </c>
      <c r="O125" s="3" cm="1">
        <f t="array" ref="O125">MAX(_xlfn._xlws.FILTER(O1:O122, ISNUMBER(O1:O122)))</f>
        <v>33.918747012891899</v>
      </c>
      <c r="P125" s="3" cm="1">
        <f t="array" ref="P125">MAX(_xlfn._xlws.FILTER(P1:P122, ISNUMBER(P1:P122)))</f>
        <v>21.8725042729214</v>
      </c>
      <c r="Q125" s="3" cm="1">
        <f t="array" ref="Q125">MAX(_xlfn._xlws.FILTER(Q1:Q122, ISNUMBER(Q1:Q122)))</f>
        <v>17.6533444223755</v>
      </c>
      <c r="R125" s="3" cm="1">
        <f t="array" ref="R125">MAX(_xlfn._xlws.FILTER(R1:R122, ISNUMBER(R1:R122)))</f>
        <v>28.2876395401344</v>
      </c>
      <c r="S125" s="3" cm="1">
        <f t="array" ref="S125">MAX(_xlfn._xlws.FILTER(S1:S122, ISNUMBER(S1:S122)))</f>
        <v>13.8267293939435</v>
      </c>
      <c r="T125" s="3" cm="1">
        <f t="array" ref="T125">MAX(_xlfn._xlws.FILTER(T1:T122, ISNUMBER(T1:T122)))</f>
        <v>28.0360120385131</v>
      </c>
      <c r="U125" s="3" cm="1">
        <f t="array" ref="U125">MAX(_xlfn._xlws.FILTER(U1:U122, ISNUMBER(U1:U122)))</f>
        <v>26.267246538453801</v>
      </c>
      <c r="V125" s="3" cm="1">
        <f t="array" ref="V125">MAX(_xlfn._xlws.FILTER(V1:V122, ISNUMBER(V1:V122)))</f>
        <v>28.2855289519322</v>
      </c>
    </row>
    <row r="127" spans="1:37" x14ac:dyDescent="0.35">
      <c r="A127" s="2" t="s">
        <v>93</v>
      </c>
      <c r="B127" s="9" cm="1">
        <f t="array" ref="B127">_xlfn.PERCENTRANK.EXC(_xlfn._xlws.FILTER(B1:B122, ISNUMBER(B1:B122)),B121)</f>
        <v>0.25</v>
      </c>
      <c r="C127" s="9" cm="1">
        <f t="array" ref="C127">_xlfn.PERCENTRANK.EXC(_xlfn._xlws.FILTER(C1:C122, ISNUMBER(C1:C122)),C121)</f>
        <v>0.106</v>
      </c>
      <c r="D127" s="9" cm="1">
        <f t="array" ref="D127">_xlfn.PERCENTRANK.EXC(_xlfn._xlws.FILTER(D1:D122, ISNUMBER(D1:D122)),D121)</f>
        <v>8.1000000000000003E-2</v>
      </c>
      <c r="E127" s="9" cm="1">
        <f t="array" ref="E127">_xlfn.PERCENTRANK.EXC(_xlfn._xlws.FILTER(E1:E122, ISNUMBER(E1:E122)),E121)</f>
        <v>1.6E-2</v>
      </c>
      <c r="F127" s="9" cm="1">
        <f t="array" ref="F127">_xlfn.PERCENTRANK.EXC(_xlfn._xlws.FILTER(F1:F122, ISNUMBER(F1:F122)),F121)</f>
        <v>0.21299999999999999</v>
      </c>
      <c r="G127" s="9" cm="1">
        <f t="array" ref="G127">_xlfn.PERCENTRANK.EXC(_xlfn._xlws.FILTER(G1:G122, ISNUMBER(G1:G122)),G121)</f>
        <v>0.27</v>
      </c>
      <c r="H127" s="9" cm="1">
        <f t="array" ref="H127">_xlfn.PERCENTRANK.EXC(_xlfn._xlws.FILTER(H1:H122, ISNUMBER(H1:H122)),H121)</f>
        <v>0.19600000000000001</v>
      </c>
      <c r="I127" s="9" cm="1">
        <f t="array" ref="I127">_xlfn.PERCENTRANK.EXC(_xlfn._xlws.FILTER(I1:I122, ISNUMBER(I1:I122)),I121)</f>
        <v>0.98299999999999998</v>
      </c>
      <c r="J127" s="9" cm="1">
        <f t="array" ref="J127">_xlfn.PERCENTRANK.EXC(_xlfn._xlws.FILTER(J1:J122, ISNUMBER(J1:J122)),J121)</f>
        <v>0.21099999999999999</v>
      </c>
      <c r="K127" s="9" cm="1">
        <f t="array" ref="K127">_xlfn.PERCENTRANK.EXC(_xlfn._xlws.FILTER(K1:K122, ISNUMBER(K1:K122)),K121)</f>
        <v>0.77800000000000002</v>
      </c>
      <c r="L127" s="9" cm="1">
        <f t="array" ref="L127">_xlfn.PERCENTRANK.EXC(_xlfn._xlws.FILTER(L1:L122, ISNUMBER(L1:L122)),L121)</f>
        <v>0.19600000000000001</v>
      </c>
      <c r="M127" s="9" cm="1">
        <f t="array" ref="M127">_xlfn.PERCENTRANK.EXC(_xlfn._xlws.FILTER(M1:M122, ISNUMBER(M1:M122)),M121)</f>
        <v>0.21299999999999999</v>
      </c>
      <c r="N127" s="9" cm="1">
        <f t="array" ref="N127">_xlfn.PERCENTRANK.EXC(_xlfn._xlws.FILTER(N1:N122, ISNUMBER(N1:N122)),N121)</f>
        <v>0.254</v>
      </c>
      <c r="O127" s="9" cm="1">
        <f t="array" ref="O127">_xlfn.PERCENTRANK.EXC(_xlfn._xlws.FILTER(O1:O122, ISNUMBER(O1:O122)),O121)</f>
        <v>0.80300000000000005</v>
      </c>
      <c r="P127" s="9" cm="1">
        <f t="array" ref="P127">_xlfn.PERCENTRANK.EXC(_xlfn._xlws.FILTER(P1:P122, ISNUMBER(P1:P122)),P121)</f>
        <v>0.19600000000000001</v>
      </c>
      <c r="Q127" s="9" cm="1">
        <f t="array" ref="Q127">_xlfn.PERCENTRANK.EXC(_xlfn._xlws.FILTER(Q1:Q122, ISNUMBER(Q1:Q122)),Q121)</f>
        <v>1.7000000000000001E-2</v>
      </c>
      <c r="R127" s="9" cm="1">
        <f t="array" ref="R127">_xlfn.PERCENTRANK.EXC(_xlfn._xlws.FILTER(R1:R122, ISNUMBER(R1:R122)),R121)</f>
        <v>9.8000000000000004E-2</v>
      </c>
      <c r="S127" s="9" cm="1">
        <f t="array" ref="S127">_xlfn.PERCENTRANK.EXC(_xlfn._xlws.FILTER(S1:S122, ISNUMBER(S1:S122)),S121)</f>
        <v>0.245</v>
      </c>
      <c r="T127" s="9" cm="1">
        <f t="array" ref="T127">_xlfn.PERCENTRANK.EXC(_xlfn._xlws.FILTER(T1:T122, ISNUMBER(T1:T122)),T121)</f>
        <v>8.0000000000000002E-3</v>
      </c>
      <c r="U127" s="9" cm="1">
        <f t="array" ref="U127">_xlfn.PERCENTRANK.EXC(_xlfn._xlws.FILTER(U1:U122, ISNUMBER(U1:U122)),U121)</f>
        <v>0.59</v>
      </c>
      <c r="V127" s="9" cm="1">
        <f t="array" ref="V127">_xlfn.PERCENTRANK.EXC(_xlfn._xlws.FILTER(V1:V122, ISNUMBER(V1:V122)),V121)</f>
        <v>0.72099999999999997</v>
      </c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2419-7243-436C-A223-59D4BBC1CB87}">
  <dimension ref="A1:AK127"/>
  <sheetViews>
    <sheetView topLeftCell="P1" workbookViewId="0">
      <selection activeCell="AD6" sqref="AD6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22" x14ac:dyDescent="0.35">
      <c r="B1" t="s">
        <v>432</v>
      </c>
      <c r="C1" t="s">
        <v>27</v>
      </c>
      <c r="D1" t="s">
        <v>35</v>
      </c>
      <c r="E1" t="s">
        <v>30</v>
      </c>
      <c r="F1" t="s">
        <v>23</v>
      </c>
      <c r="G1" t="s">
        <v>29</v>
      </c>
      <c r="H1" t="s">
        <v>33</v>
      </c>
      <c r="I1" t="s">
        <v>24</v>
      </c>
      <c r="J1" t="s">
        <v>7</v>
      </c>
      <c r="K1" t="s">
        <v>21</v>
      </c>
      <c r="L1" t="s">
        <v>12</v>
      </c>
      <c r="M1" t="s">
        <v>22</v>
      </c>
      <c r="N1" t="s">
        <v>28</v>
      </c>
      <c r="O1" t="s">
        <v>32</v>
      </c>
      <c r="P1" t="s">
        <v>26</v>
      </c>
      <c r="Q1" t="s">
        <v>31</v>
      </c>
      <c r="R1" t="s">
        <v>757</v>
      </c>
      <c r="S1" t="s">
        <v>25</v>
      </c>
      <c r="T1" t="s">
        <v>34</v>
      </c>
      <c r="U1" t="s">
        <v>37</v>
      </c>
      <c r="V1" t="s">
        <v>36</v>
      </c>
    </row>
    <row r="2" spans="1:22" x14ac:dyDescent="0.35">
      <c r="A2" s="2" cm="1">
        <f t="array" ref="A2:A122">_xll.FDS(C1,"JULIAN(FMA_DIV_YLD(NTMA,-10AY,0,AM,""PORTAGG"",""MEANR"").dates)")</f>
        <v>41838</v>
      </c>
      <c r="B2" s="3" t="e" cm="1">
        <f t="array" ref="B2:B122">_xll.FDS(B1,"FMA_PE(NTMA,-10AY,0,AM,""PORTAGG"",""MEANR"")")</f>
        <v>#N/A</v>
      </c>
      <c r="C2" s="3" cm="1">
        <f t="array" ref="C2:C122">_xll.FDS(C1,"FMA_PE(NTMA,-10AY,0,AM,""PORTAGG"",""MEANR"")")</f>
        <v>14.7368644850797</v>
      </c>
      <c r="D2" s="3" cm="1">
        <f t="array" ref="D2:D122">_xll.FDS(D1,"FMA_PE(NTMA,-10AY,0,AM,""PORTAGG"",""MEANR"")")</f>
        <v>14.706919146228399</v>
      </c>
      <c r="E2" s="3" cm="1">
        <f t="array" ref="E2:E122">_xll.FDS(E1,"FMA_PE(NTMA,-10AY,0,AM,""PORTAGG"",""MEANR"")")</f>
        <v>17.293183413329501</v>
      </c>
      <c r="F2" s="3" cm="1">
        <f t="array" ref="F2:F122">_xll.FDS(F1,"FMA_PE(NTMA,-10AY,0,AM,""PORTAGG"",""MEANR"")")</f>
        <v>13.1628708402072</v>
      </c>
      <c r="G2" s="3" cm="1">
        <f t="array" ref="G2:G122">_xll.FDS(G1,"FMA_PE(NTMA,-10AY,0,AM,""PORTAGG"",""MEANR"")")</f>
        <v>14.523996735774499</v>
      </c>
      <c r="H2" s="3" cm="1">
        <f t="array" ref="H2:H122">_xll.FDS(H1,"FMA_PE(NTMA,-10AY,0,AM,""PORTAGG"",""MEANR"")")</f>
        <v>15.6509814794757</v>
      </c>
      <c r="I2" s="3" cm="1">
        <f t="array" ref="I2:I122">_xll.FDS(I1,"FMA_PE(NTMA,-10AY,0,AM,""PORTAGG"",""MEANR"")")</f>
        <v>14.147377649344399</v>
      </c>
      <c r="J2" s="3" t="e" cm="1">
        <f t="array" ref="J2:J122">_xll.FDS(J1,"FMA_PE(NTMA,-10AY,0,AM,""PORTAGG"",""MEANR"")")</f>
        <v>#N/A</v>
      </c>
      <c r="K2" s="3" cm="1">
        <f t="array" ref="K2:K122">_xll.FDS(K1,"FMA_PE(NTMA,-10AY,0,AM,""PORTAGG"",""MEANR"")")</f>
        <v>9.8930201223499097</v>
      </c>
      <c r="L2" s="3" cm="1">
        <f t="array" ref="L2:L122">_xll.FDS(L1,"FMA_PE(NTMA,-10AY,0,AM,""PORTAGG"",""MEANR"")")</f>
        <v>11.783593586017</v>
      </c>
      <c r="M2" s="3" cm="1">
        <f t="array" ref="M2:M122">_xll.FDS(M1,"FMA_PE(NTMA,-10AY,0,AM,""PORTAGG"",""MEANR"")")</f>
        <v>14.9944857844774</v>
      </c>
      <c r="N2" s="3" cm="1">
        <f t="array" ref="N2:N122">_xll.FDS(N1,"FMA_PE(NTMA,-10AY,0,AM,""PORTAGG"",""MEANR"")")</f>
        <v>8.8582349486390797</v>
      </c>
      <c r="O2" s="3" cm="1">
        <f t="array" ref="O2:O122">_xll.FDS(O1,"FMA_PE(NTMA,-10AY,0,AM,""PORTAGG"",""MEANR"")")</f>
        <v>16.463134366113799</v>
      </c>
      <c r="P2" s="3" cm="1">
        <f t="array" ref="P2:P122">_xll.FDS(P1,"FMA_PE(NTMA,-10AY,0,AM,""PORTAGG"",""MEANR"")")</f>
        <v>8.9714376888113101</v>
      </c>
      <c r="Q2" s="3" cm="1">
        <f t="array" ref="Q2:Q122">_xll.FDS(Q1,"FMA_PE(NTMA,-10AY,0,AM,""PORTAGG"",""MEANR"")")</f>
        <v>15.8135612087406</v>
      </c>
      <c r="R2" s="3" cm="1">
        <f t="array" ref="R2:R122">_xll.FDS(R1,"FMA_PE(NTMA,-10AY,0,AM,""PORTAGG"",""MEANR"")")</f>
        <v>14.544638685091099</v>
      </c>
      <c r="S2" s="3" cm="1">
        <f t="array" ref="S2:S122">_xll.FDS(S1,"FMA_PE(NTMA,-10AY,0,AM,""PORTAGG"",""MEANR"")")</f>
        <v>10.8905495978136</v>
      </c>
      <c r="T2" s="3" cm="1">
        <f t="array" ref="T2:T122">_xll.FDS(T1,"FMA_PE(NTMA,-10AY,0,AM,""PORTAGG"",""MEANR"")")</f>
        <v>14.930950309086199</v>
      </c>
      <c r="U2" s="3" cm="1">
        <f t="array" ref="U2:U122">_xll.FDS(U1,"FMA_PE(NTMA,-10AY,0,AM,""PORTAGG"",""MEANR"")")</f>
        <v>12.871638299736899</v>
      </c>
      <c r="V2" s="3" t="e" cm="1">
        <f t="array" ref="V2:V122">_xll.FDS(V1,"FMA_PE(NTMA,-10AY,0,AM,""PORTAGG"",""MEANR"")")</f>
        <v>#N/A</v>
      </c>
    </row>
    <row r="3" spans="1:22" x14ac:dyDescent="0.35">
      <c r="A3" s="2">
        <v>41870</v>
      </c>
      <c r="B3" s="3" t="e">
        <v>#N/A</v>
      </c>
      <c r="C3" s="3">
        <v>14.578356511227</v>
      </c>
      <c r="D3" s="3">
        <v>14.866022936645599</v>
      </c>
      <c r="E3" s="3">
        <v>17.630428106108901</v>
      </c>
      <c r="F3" s="3">
        <v>13.4379993564048</v>
      </c>
      <c r="G3" s="3">
        <v>13.6349362502704</v>
      </c>
      <c r="H3" s="3">
        <v>15.7113727362182</v>
      </c>
      <c r="I3" s="3">
        <v>13.682401900365701</v>
      </c>
      <c r="J3" s="3" t="e">
        <v>#N/A</v>
      </c>
      <c r="K3" s="3">
        <v>10.3204556042667</v>
      </c>
      <c r="L3" s="3">
        <v>12.1332474996867</v>
      </c>
      <c r="M3" s="3">
        <v>15.1697051909929</v>
      </c>
      <c r="N3" s="3">
        <v>7.95331976629691</v>
      </c>
      <c r="O3" s="3">
        <v>16.662132917485</v>
      </c>
      <c r="P3" s="3">
        <v>9.3460243777877103</v>
      </c>
      <c r="Q3" s="3">
        <v>16.016688844269499</v>
      </c>
      <c r="R3" s="3">
        <v>15.7257280765142</v>
      </c>
      <c r="S3" s="3">
        <v>10.236295044732699</v>
      </c>
      <c r="T3" s="3">
        <v>14.928621048823301</v>
      </c>
      <c r="U3" s="3">
        <v>12.7149704981399</v>
      </c>
      <c r="V3" s="3" t="e">
        <v>#N/A</v>
      </c>
    </row>
    <row r="4" spans="1:22" x14ac:dyDescent="0.35">
      <c r="A4" s="2">
        <v>41901</v>
      </c>
      <c r="B4" s="3" t="e">
        <v>#N/A</v>
      </c>
      <c r="C4" s="3">
        <v>14.7346555080393</v>
      </c>
      <c r="D4" s="3">
        <v>14.855102680794101</v>
      </c>
      <c r="E4" s="3">
        <v>17.851743268990301</v>
      </c>
      <c r="F4" s="3">
        <v>13.810285073244099</v>
      </c>
      <c r="G4" s="3">
        <v>13.326325995663799</v>
      </c>
      <c r="H4" s="3">
        <v>15.7172511954301</v>
      </c>
      <c r="I4" s="3">
        <v>13.502462261098</v>
      </c>
      <c r="J4" s="3" t="e">
        <v>#N/A</v>
      </c>
      <c r="K4" s="3">
        <v>10.285927851458901</v>
      </c>
      <c r="L4" s="3">
        <v>11.977990926508999</v>
      </c>
      <c r="M4" s="3">
        <v>15.0305491352608</v>
      </c>
      <c r="N4" s="3">
        <v>7.74785913551551</v>
      </c>
      <c r="O4" s="3">
        <v>16.845478795533602</v>
      </c>
      <c r="P4" s="3">
        <v>8.9844006641066407</v>
      </c>
      <c r="Q4" s="3">
        <v>16.1316344992639</v>
      </c>
      <c r="R4" s="3">
        <v>15.9623831048547</v>
      </c>
      <c r="S4" s="3">
        <v>9.7096436663786907</v>
      </c>
      <c r="T4" s="3">
        <v>15.430053323502699</v>
      </c>
      <c r="U4" s="3">
        <v>12.0023804707431</v>
      </c>
      <c r="V4" s="3" t="e">
        <v>#N/A</v>
      </c>
    </row>
    <row r="5" spans="1:22" x14ac:dyDescent="0.35">
      <c r="A5" s="2">
        <v>41929</v>
      </c>
      <c r="B5" s="3" t="e">
        <v>#N/A</v>
      </c>
      <c r="C5" s="3">
        <v>13.5806858426752</v>
      </c>
      <c r="D5" s="3">
        <v>14.246805258449999</v>
      </c>
      <c r="E5" s="3">
        <v>16.9901775194127</v>
      </c>
      <c r="F5" s="3">
        <v>13.2871463321465</v>
      </c>
      <c r="G5" s="3">
        <v>12.1575138530307</v>
      </c>
      <c r="H5" s="3">
        <v>15.125122775261399</v>
      </c>
      <c r="I5" s="3">
        <v>12.349411084400099</v>
      </c>
      <c r="J5" s="3" t="e">
        <v>#N/A</v>
      </c>
      <c r="K5" s="3">
        <v>9.2133281697736908</v>
      </c>
      <c r="L5" s="3">
        <v>11.6847800743585</v>
      </c>
      <c r="M5" s="3">
        <v>14.1467671411264</v>
      </c>
      <c r="N5" s="3">
        <v>6.4690636540362503</v>
      </c>
      <c r="O5" s="3">
        <v>16.020487018265399</v>
      </c>
      <c r="P5" s="3">
        <v>8.4103051799533706</v>
      </c>
      <c r="Q5" s="3">
        <v>14.5630225522606</v>
      </c>
      <c r="R5" s="3">
        <v>15.114605119652399</v>
      </c>
      <c r="S5" s="3">
        <v>9.4922451664181597</v>
      </c>
      <c r="T5" s="3">
        <v>13.168143197639001</v>
      </c>
      <c r="U5" s="3">
        <v>11.794674719944799</v>
      </c>
      <c r="V5" s="3" t="e">
        <v>#N/A</v>
      </c>
    </row>
    <row r="6" spans="1:22" x14ac:dyDescent="0.35">
      <c r="A6" s="2">
        <v>41962</v>
      </c>
      <c r="B6" s="3" t="e">
        <v>#N/A</v>
      </c>
      <c r="C6" s="3">
        <v>14.476209495582699</v>
      </c>
      <c r="D6" s="3">
        <v>14.861777830225201</v>
      </c>
      <c r="E6" s="3">
        <v>17.677203099925698</v>
      </c>
      <c r="F6" s="3">
        <v>13.3568903449528</v>
      </c>
      <c r="G6" s="3">
        <v>12.0757053218389</v>
      </c>
      <c r="H6" s="3">
        <v>15.423779323103</v>
      </c>
      <c r="I6" s="3">
        <v>13.0514081226179</v>
      </c>
      <c r="J6" s="3" t="e">
        <v>#N/A</v>
      </c>
      <c r="K6" s="3">
        <v>9.7116991922153293</v>
      </c>
      <c r="L6" s="3">
        <v>11.434757991129199</v>
      </c>
      <c r="M6" s="3">
        <v>15.265696883442001</v>
      </c>
      <c r="N6" s="3">
        <v>6.6478332369026498</v>
      </c>
      <c r="O6" s="3">
        <v>17.239434277154899</v>
      </c>
      <c r="P6" s="3">
        <v>8.6303370375752895</v>
      </c>
      <c r="Q6" s="3">
        <v>15.247070435261501</v>
      </c>
      <c r="R6" s="3">
        <v>15.613590829555701</v>
      </c>
      <c r="S6" s="3">
        <v>10.1161014888824</v>
      </c>
      <c r="T6" s="3">
        <v>14.1296316144483</v>
      </c>
      <c r="U6" s="3">
        <v>11.496763135208001</v>
      </c>
      <c r="V6" s="3" t="e">
        <v>#N/A</v>
      </c>
    </row>
    <row r="7" spans="1:22" x14ac:dyDescent="0.35">
      <c r="A7" s="2">
        <v>41992</v>
      </c>
      <c r="B7" s="3" t="e">
        <v>#N/A</v>
      </c>
      <c r="C7" s="3">
        <v>13.438529436162501</v>
      </c>
      <c r="D7" s="3">
        <v>14.8304896135308</v>
      </c>
      <c r="E7" s="3">
        <v>17.004954948382402</v>
      </c>
      <c r="F7" s="3">
        <v>13.359323831169901</v>
      </c>
      <c r="G7" s="3">
        <v>12.261387234170099</v>
      </c>
      <c r="H7" s="3">
        <v>14.7949503648194</v>
      </c>
      <c r="I7" s="3">
        <v>12.7900072708299</v>
      </c>
      <c r="J7" s="3" t="e">
        <v>#N/A</v>
      </c>
      <c r="K7" s="3">
        <v>9.6249475477620496</v>
      </c>
      <c r="L7" s="3">
        <v>11.029899375924799</v>
      </c>
      <c r="M7" s="3">
        <v>15.625138012588</v>
      </c>
      <c r="N7" s="3">
        <v>5.43251621348311</v>
      </c>
      <c r="O7" s="3">
        <v>16.7269185599664</v>
      </c>
      <c r="P7" s="3">
        <v>9.1143737817964592</v>
      </c>
      <c r="Q7" s="3">
        <v>12.329630854600699</v>
      </c>
      <c r="R7" s="3">
        <v>14.908610130844</v>
      </c>
      <c r="S7" s="3">
        <v>10.261228947053599</v>
      </c>
      <c r="T7" s="3">
        <v>11.4743961472821</v>
      </c>
      <c r="U7" s="3">
        <v>11.3638247184035</v>
      </c>
      <c r="V7" s="3" t="e">
        <v>#N/A</v>
      </c>
    </row>
    <row r="8" spans="1:22" x14ac:dyDescent="0.35">
      <c r="A8" s="2">
        <v>42020</v>
      </c>
      <c r="B8" s="3" t="e">
        <v>#N/A</v>
      </c>
      <c r="C8" s="3">
        <v>12.5753230334163</v>
      </c>
      <c r="D8" s="3">
        <v>14.820409056130201</v>
      </c>
      <c r="E8" s="3">
        <v>17.7955309724831</v>
      </c>
      <c r="F8" s="3">
        <v>12.953012820736699</v>
      </c>
      <c r="G8" s="3">
        <v>12.5582121459658</v>
      </c>
      <c r="H8" s="3">
        <v>14.998888344524801</v>
      </c>
      <c r="I8" s="3">
        <v>12.418155901791399</v>
      </c>
      <c r="J8" s="3" t="e">
        <v>#N/A</v>
      </c>
      <c r="K8" s="3">
        <v>9.3603378373959298</v>
      </c>
      <c r="L8" s="3">
        <v>11.281794360175301</v>
      </c>
      <c r="M8" s="3">
        <v>15.9447223741145</v>
      </c>
      <c r="N8" s="3">
        <v>4.2846883900128603</v>
      </c>
      <c r="O8" s="3">
        <v>17.3709722653611</v>
      </c>
      <c r="P8" s="3">
        <v>9.8144345559572397</v>
      </c>
      <c r="Q8" s="3">
        <v>13.3506664029115</v>
      </c>
      <c r="R8" s="3">
        <v>15.308030766713401</v>
      </c>
      <c r="S8" s="3">
        <v>10.7551082482589</v>
      </c>
      <c r="T8" s="3">
        <v>11.8648387486469</v>
      </c>
      <c r="U8" s="3">
        <v>12.1749285776459</v>
      </c>
      <c r="V8" s="3" t="e">
        <v>#N/A</v>
      </c>
    </row>
    <row r="9" spans="1:22" x14ac:dyDescent="0.35">
      <c r="A9" s="2">
        <v>42054</v>
      </c>
      <c r="B9" s="3" t="e">
        <v>#N/A</v>
      </c>
      <c r="C9" s="3">
        <v>13.539617509187201</v>
      </c>
      <c r="D9" s="3">
        <v>15.9119073227676</v>
      </c>
      <c r="E9" s="3">
        <v>18.278119354622</v>
      </c>
      <c r="F9" s="3">
        <v>13.446685573769299</v>
      </c>
      <c r="G9" s="3">
        <v>13.2522173473668</v>
      </c>
      <c r="H9" s="3">
        <v>15.5560074728314</v>
      </c>
      <c r="I9" s="3">
        <v>12.806756178834201</v>
      </c>
      <c r="J9" s="3" t="e">
        <v>#N/A</v>
      </c>
      <c r="K9" s="3">
        <v>9.8020914312186491</v>
      </c>
      <c r="L9" s="3">
        <v>11.9857675613145</v>
      </c>
      <c r="M9" s="3">
        <v>16.883816223335401</v>
      </c>
      <c r="N9" s="3">
        <v>4.9265117779246701</v>
      </c>
      <c r="O9" s="3">
        <v>18.5887645708581</v>
      </c>
      <c r="P9" s="3">
        <v>10.239081539870799</v>
      </c>
      <c r="Q9" s="3">
        <v>13.965099392390201</v>
      </c>
      <c r="R9" s="3">
        <v>16.100860007131399</v>
      </c>
      <c r="S9" s="3">
        <v>10.628975347381999</v>
      </c>
      <c r="T9" s="3">
        <v>12.8215067181469</v>
      </c>
      <c r="U9" s="3">
        <v>12.908054645403</v>
      </c>
      <c r="V9" s="3" t="e">
        <v>#N/A</v>
      </c>
    </row>
    <row r="10" spans="1:22" x14ac:dyDescent="0.35">
      <c r="A10" s="2">
        <v>42082</v>
      </c>
      <c r="B10" s="3" t="e">
        <v>#N/A</v>
      </c>
      <c r="C10" s="3">
        <v>13.111768735684</v>
      </c>
      <c r="D10" s="3">
        <v>15.998090775607601</v>
      </c>
      <c r="E10" s="3">
        <v>18.2126822517662</v>
      </c>
      <c r="F10" s="3">
        <v>13.8448831655517</v>
      </c>
      <c r="G10" s="3">
        <v>12.5829166726792</v>
      </c>
      <c r="H10" s="3">
        <v>15.750544906139099</v>
      </c>
      <c r="I10" s="3">
        <v>12.932868079764701</v>
      </c>
      <c r="J10" s="3" t="e">
        <v>#N/A</v>
      </c>
      <c r="K10" s="3">
        <v>10.0758799419079</v>
      </c>
      <c r="L10" s="3">
        <v>12.6234436157554</v>
      </c>
      <c r="M10" s="3">
        <v>16.819563356708699</v>
      </c>
      <c r="N10" s="3">
        <v>4.5067290263017696</v>
      </c>
      <c r="O10" s="3">
        <v>18.074862715660402</v>
      </c>
      <c r="P10" s="3">
        <v>10.176455881112201</v>
      </c>
      <c r="Q10" s="3">
        <v>12.8598571933277</v>
      </c>
      <c r="R10" s="3">
        <v>15.135301931676601</v>
      </c>
      <c r="S10" s="3">
        <v>10.042533748822599</v>
      </c>
      <c r="T10" s="3">
        <v>11.6915751283034</v>
      </c>
      <c r="U10" s="3">
        <v>12.0391426395227</v>
      </c>
      <c r="V10" s="3" t="e">
        <v>#N/A</v>
      </c>
    </row>
    <row r="11" spans="1:22" x14ac:dyDescent="0.35">
      <c r="A11" s="2">
        <v>42111</v>
      </c>
      <c r="B11" s="3" t="e">
        <v>#N/A</v>
      </c>
      <c r="C11" s="3">
        <v>13.867739629769099</v>
      </c>
      <c r="D11" s="3">
        <v>15.8883925537022</v>
      </c>
      <c r="E11" s="3">
        <v>18.314946143807401</v>
      </c>
      <c r="F11" s="3">
        <v>14.6864361891926</v>
      </c>
      <c r="G11" s="3">
        <v>12.1838625177633</v>
      </c>
      <c r="H11" s="3">
        <v>16.071099061346899</v>
      </c>
      <c r="I11" s="3">
        <v>12.573247004797601</v>
      </c>
      <c r="J11" s="3" t="e">
        <v>#N/A</v>
      </c>
      <c r="K11" s="3">
        <v>10.336854109559299</v>
      </c>
      <c r="L11" s="3">
        <v>13.755969944237499</v>
      </c>
      <c r="M11" s="3">
        <v>17.5328329731406</v>
      </c>
      <c r="N11" s="3">
        <v>5.0917834405753899</v>
      </c>
      <c r="O11" s="3">
        <v>17.9890809828313</v>
      </c>
      <c r="P11" s="3">
        <v>12.248908704386301</v>
      </c>
      <c r="Q11" s="3">
        <v>13.308492723342001</v>
      </c>
      <c r="R11" s="3">
        <v>15.468643111452201</v>
      </c>
      <c r="S11" s="3">
        <v>10.0604018131133</v>
      </c>
      <c r="T11" s="3">
        <v>13.7690440242599</v>
      </c>
      <c r="U11" s="3">
        <v>13.501956169342799</v>
      </c>
      <c r="V11" s="3" t="e">
        <v>#N/A</v>
      </c>
    </row>
    <row r="12" spans="1:22" x14ac:dyDescent="0.35">
      <c r="A12" s="2">
        <v>42143</v>
      </c>
      <c r="B12" s="3" t="e">
        <v>#N/A</v>
      </c>
      <c r="C12" s="3">
        <v>14.248169652867899</v>
      </c>
      <c r="D12" s="3">
        <v>15.414376552330699</v>
      </c>
      <c r="E12" s="3">
        <v>18.292915509306098</v>
      </c>
      <c r="F12" s="3">
        <v>14.625022966738401</v>
      </c>
      <c r="G12" s="3">
        <v>13.217798403752401</v>
      </c>
      <c r="H12" s="3">
        <v>15.785025200318699</v>
      </c>
      <c r="I12" s="3">
        <v>12.9244100386328</v>
      </c>
      <c r="J12" s="3" t="e">
        <v>#N/A</v>
      </c>
      <c r="K12" s="3">
        <v>9.9190365228632302</v>
      </c>
      <c r="L12" s="3">
        <v>13.899719386019999</v>
      </c>
      <c r="M12" s="3">
        <v>17.151330567829099</v>
      </c>
      <c r="N12" s="3">
        <v>5.1476580377356198</v>
      </c>
      <c r="O12" s="3">
        <v>17.496706887868399</v>
      </c>
      <c r="P12" s="3">
        <v>11.980808785355601</v>
      </c>
      <c r="Q12" s="3">
        <v>13.6082168635989</v>
      </c>
      <c r="R12" s="3">
        <v>15.5781607705986</v>
      </c>
      <c r="S12" s="3">
        <v>10.868551707026899</v>
      </c>
      <c r="T12" s="3">
        <v>14.079256578302701</v>
      </c>
      <c r="U12" s="3">
        <v>13.011344879222699</v>
      </c>
      <c r="V12" s="3" t="e">
        <v>#N/A</v>
      </c>
    </row>
    <row r="13" spans="1:22" x14ac:dyDescent="0.35">
      <c r="A13" s="2">
        <v>42174</v>
      </c>
      <c r="B13" s="3" t="e">
        <v>#N/A</v>
      </c>
      <c r="C13" s="3">
        <v>13.5528263523926</v>
      </c>
      <c r="D13" s="3">
        <v>14.7170695143844</v>
      </c>
      <c r="E13" s="3">
        <v>17.499473617051201</v>
      </c>
      <c r="F13" s="3">
        <v>13.1761672828887</v>
      </c>
      <c r="G13" s="3">
        <v>13.942305983267101</v>
      </c>
      <c r="H13" s="3">
        <v>15.268376212115699</v>
      </c>
      <c r="I13" s="3">
        <v>12.417423616461701</v>
      </c>
      <c r="J13" s="3" t="e">
        <v>#N/A</v>
      </c>
      <c r="K13" s="3">
        <v>9.4836668721962702</v>
      </c>
      <c r="L13" s="3">
        <v>13.3149393698303</v>
      </c>
      <c r="M13" s="3">
        <v>15.9385840367911</v>
      </c>
      <c r="N13" s="3">
        <v>5.3399154120696801</v>
      </c>
      <c r="O13" s="3">
        <v>17.333743682055701</v>
      </c>
      <c r="P13" s="3">
        <v>11.005770897959501</v>
      </c>
      <c r="Q13" s="3">
        <v>13.111557075765299</v>
      </c>
      <c r="R13" s="3">
        <v>15.071443906334901</v>
      </c>
      <c r="S13" s="3">
        <v>10.041153882732401</v>
      </c>
      <c r="T13" s="3">
        <v>12.9327964147855</v>
      </c>
      <c r="U13" s="3">
        <v>13.894033785168901</v>
      </c>
      <c r="V13" s="3" t="e">
        <v>#N/A</v>
      </c>
    </row>
    <row r="14" spans="1:22" x14ac:dyDescent="0.35">
      <c r="A14" s="2">
        <v>42202</v>
      </c>
      <c r="B14" s="3" t="e">
        <v>#N/A</v>
      </c>
      <c r="C14" s="3">
        <v>12.7734638523555</v>
      </c>
      <c r="D14" s="3">
        <v>14.348156337603999</v>
      </c>
      <c r="E14" s="3">
        <v>17.637735206429699</v>
      </c>
      <c r="F14" s="3">
        <v>13.1774719615709</v>
      </c>
      <c r="G14" s="3">
        <v>12.8493209920303</v>
      </c>
      <c r="H14" s="3">
        <v>15.3194632032196</v>
      </c>
      <c r="I14" s="3">
        <v>12.2436583707326</v>
      </c>
      <c r="J14" s="3" t="e">
        <v>#N/A</v>
      </c>
      <c r="K14" s="3">
        <v>9.5677528546038602</v>
      </c>
      <c r="L14" s="3">
        <v>12.7887925747973</v>
      </c>
      <c r="M14" s="3">
        <v>16.451837535698399</v>
      </c>
      <c r="N14" s="3">
        <v>4.75837588541639</v>
      </c>
      <c r="O14" s="3">
        <v>18.726093278428301</v>
      </c>
      <c r="P14" s="3">
        <v>10.007510327188401</v>
      </c>
      <c r="Q14" s="3">
        <v>13.422466832272599</v>
      </c>
      <c r="R14" s="3">
        <v>15.102112939508499</v>
      </c>
      <c r="S14" s="3">
        <v>9.9828309355173204</v>
      </c>
      <c r="T14" s="3">
        <v>12.986024869343</v>
      </c>
      <c r="U14" s="3">
        <v>14.7774800002214</v>
      </c>
      <c r="V14" s="3" t="e">
        <v>#N/A</v>
      </c>
    </row>
    <row r="15" spans="1:22" x14ac:dyDescent="0.35">
      <c r="A15" s="2">
        <v>42235</v>
      </c>
      <c r="B15" s="3" t="e">
        <v>#N/A</v>
      </c>
      <c r="C15" s="3">
        <v>12.5550570836332</v>
      </c>
      <c r="D15" s="3">
        <v>13.1174109439718</v>
      </c>
      <c r="E15" s="3">
        <v>17.151922821439499</v>
      </c>
      <c r="F15" s="3">
        <v>12.7020716460676</v>
      </c>
      <c r="G15" s="3">
        <v>11.2791908560433</v>
      </c>
      <c r="H15" s="3">
        <v>13.9691539854976</v>
      </c>
      <c r="I15" s="3">
        <v>11.2108264992707</v>
      </c>
      <c r="J15" s="3" t="e">
        <v>#N/A</v>
      </c>
      <c r="K15" s="3">
        <v>9.3863424996515299</v>
      </c>
      <c r="L15" s="3">
        <v>11.136702655174201</v>
      </c>
      <c r="M15" s="3">
        <v>15.1537964896317</v>
      </c>
      <c r="N15" s="3">
        <v>4.7367179951493998</v>
      </c>
      <c r="O15" s="3">
        <v>18.909370082704601</v>
      </c>
      <c r="P15" s="3">
        <v>9.2977916805263199</v>
      </c>
      <c r="Q15" s="3">
        <v>12.813306221038999</v>
      </c>
      <c r="R15" s="3">
        <v>14.084419186213999</v>
      </c>
      <c r="S15" s="3">
        <v>8.9381114617386697</v>
      </c>
      <c r="T15" s="3">
        <v>11.651782685769501</v>
      </c>
      <c r="U15" s="3">
        <v>13.9972215821111</v>
      </c>
      <c r="V15" s="3" t="e">
        <v>#N/A</v>
      </c>
    </row>
    <row r="16" spans="1:22" x14ac:dyDescent="0.35">
      <c r="A16" s="2">
        <v>42265</v>
      </c>
      <c r="B16" s="3" t="e">
        <v>#N/A</v>
      </c>
      <c r="C16" s="3">
        <v>12.652623854556801</v>
      </c>
      <c r="D16" s="3">
        <v>13.3549831638735</v>
      </c>
      <c r="E16" s="3">
        <v>16.753965896367902</v>
      </c>
      <c r="F16" s="3">
        <v>12.4376572200725</v>
      </c>
      <c r="G16" s="3">
        <v>11.3634821629682</v>
      </c>
      <c r="H16" s="3">
        <v>15.158311674625001</v>
      </c>
      <c r="I16" s="3">
        <v>11.949505909656001</v>
      </c>
      <c r="J16" s="3" t="e">
        <v>#N/A</v>
      </c>
      <c r="K16" s="3">
        <v>9.7305271593123202</v>
      </c>
      <c r="L16" s="3">
        <v>11.214525359466499</v>
      </c>
      <c r="M16" s="3">
        <v>15.3946759068989</v>
      </c>
      <c r="N16" s="3">
        <v>4.3086743456225998</v>
      </c>
      <c r="O16" s="3">
        <v>17.674077782418699</v>
      </c>
      <c r="P16" s="3">
        <v>9.0466066086154395</v>
      </c>
      <c r="Q16" s="3">
        <v>12.6773699049401</v>
      </c>
      <c r="R16" s="3">
        <v>14.227059059229701</v>
      </c>
      <c r="S16" s="3">
        <v>8.9247545811199593</v>
      </c>
      <c r="T16" s="3">
        <v>11.958781268897299</v>
      </c>
      <c r="U16" s="3">
        <v>13.6649795580947</v>
      </c>
      <c r="V16" s="3" t="e">
        <v>#N/A</v>
      </c>
    </row>
    <row r="17" spans="1:22" x14ac:dyDescent="0.35">
      <c r="A17" s="2">
        <v>42296</v>
      </c>
      <c r="B17" s="3" t="e">
        <v>#N/A</v>
      </c>
      <c r="C17" s="3">
        <v>12.823204281863299</v>
      </c>
      <c r="D17" s="3">
        <v>14.3712608103626</v>
      </c>
      <c r="E17" s="3">
        <v>16.648567999116299</v>
      </c>
      <c r="F17" s="3">
        <v>12.372652387867999</v>
      </c>
      <c r="G17" s="3">
        <v>7.9535643801797802</v>
      </c>
      <c r="H17" s="3">
        <v>15.618460342311</v>
      </c>
      <c r="I17" s="3">
        <v>12.164085490670701</v>
      </c>
      <c r="J17" s="3" t="e">
        <v>#N/A</v>
      </c>
      <c r="K17" s="3">
        <v>10.114942771983999</v>
      </c>
      <c r="L17" s="3">
        <v>11.178708415821299</v>
      </c>
      <c r="M17" s="3">
        <v>15.9610673874458</v>
      </c>
      <c r="N17" s="3">
        <v>3.9298273576477798</v>
      </c>
      <c r="O17" s="3">
        <v>17.9980696900423</v>
      </c>
      <c r="P17" s="3">
        <v>9.6651502073467608</v>
      </c>
      <c r="Q17" s="3">
        <v>12.8610854349375</v>
      </c>
      <c r="R17" s="3">
        <v>14.4240368919506</v>
      </c>
      <c r="S17" s="3">
        <v>9.3748329421783403</v>
      </c>
      <c r="T17" s="3">
        <v>12.262601263212501</v>
      </c>
      <c r="U17" s="3">
        <v>15.281600718165301</v>
      </c>
      <c r="V17" s="3">
        <v>13.0072370464892</v>
      </c>
    </row>
    <row r="18" spans="1:22" x14ac:dyDescent="0.35">
      <c r="A18" s="2">
        <v>42327</v>
      </c>
      <c r="B18" s="3" t="e">
        <v>#N/A</v>
      </c>
      <c r="C18" s="3">
        <v>13.635204271646399</v>
      </c>
      <c r="D18" s="3">
        <v>14.2383368916267</v>
      </c>
      <c r="E18" s="3">
        <v>15.7082186568261</v>
      </c>
      <c r="F18" s="3">
        <v>11.8508329999796</v>
      </c>
      <c r="G18" s="3">
        <v>7.8727362413177397</v>
      </c>
      <c r="H18" s="3">
        <v>15.062865477525101</v>
      </c>
      <c r="I18" s="3">
        <v>12.109615322542201</v>
      </c>
      <c r="J18" s="3" t="e">
        <v>#N/A</v>
      </c>
      <c r="K18" s="3">
        <v>10.1702951318748</v>
      </c>
      <c r="L18" s="3">
        <v>11.2580487881943</v>
      </c>
      <c r="M18" s="3">
        <v>15.421465091681499</v>
      </c>
      <c r="N18" s="3">
        <v>4.0441630889692002</v>
      </c>
      <c r="O18" s="3">
        <v>17.121871027765501</v>
      </c>
      <c r="P18" s="3">
        <v>9.5103101562642394</v>
      </c>
      <c r="Q18" s="3">
        <v>11.932748238285001</v>
      </c>
      <c r="R18" s="3">
        <v>13.7573986247217</v>
      </c>
      <c r="S18" s="3">
        <v>9.3690088513136196</v>
      </c>
      <c r="T18" s="3">
        <v>10.8723853074326</v>
      </c>
      <c r="U18" s="3">
        <v>14.6625478453937</v>
      </c>
      <c r="V18" s="3">
        <v>12.3412634904433</v>
      </c>
    </row>
    <row r="19" spans="1:22" x14ac:dyDescent="0.35">
      <c r="A19" s="2">
        <v>42356</v>
      </c>
      <c r="B19" s="3" t="e">
        <v>#N/A</v>
      </c>
      <c r="C19" s="3">
        <v>12.4852486540555</v>
      </c>
      <c r="D19" s="3">
        <v>14.0397328530258</v>
      </c>
      <c r="E19" s="3">
        <v>16.009176218135099</v>
      </c>
      <c r="F19" s="3">
        <v>11.941863410913101</v>
      </c>
      <c r="G19" s="3">
        <v>7.3058311390138604</v>
      </c>
      <c r="H19" s="3">
        <v>15.217337924472201</v>
      </c>
      <c r="I19" s="3">
        <v>11.6785129964465</v>
      </c>
      <c r="J19" s="3" t="e">
        <v>#N/A</v>
      </c>
      <c r="K19" s="3">
        <v>10.021261127959299</v>
      </c>
      <c r="L19" s="3">
        <v>10.5095466481496</v>
      </c>
      <c r="M19" s="3">
        <v>14.133966033507701</v>
      </c>
      <c r="N19" s="3">
        <v>4.74261252576005</v>
      </c>
      <c r="O19" s="3">
        <v>17.072725177895599</v>
      </c>
      <c r="P19" s="3">
        <v>9.2420017903217992</v>
      </c>
      <c r="Q19" s="3">
        <v>10.1023022231707</v>
      </c>
      <c r="R19" s="3">
        <v>12.568872757787799</v>
      </c>
      <c r="S19" s="3">
        <v>8.2479675777609796</v>
      </c>
      <c r="T19" s="3">
        <v>10.6569439235031</v>
      </c>
      <c r="U19" s="3">
        <v>11.6654600575256</v>
      </c>
      <c r="V19" s="3">
        <v>12.886082450716801</v>
      </c>
    </row>
    <row r="20" spans="1:22" x14ac:dyDescent="0.35">
      <c r="A20" s="2">
        <v>42388</v>
      </c>
      <c r="B20" s="3" t="e">
        <v>#N/A</v>
      </c>
      <c r="C20" s="3">
        <v>11.594059475077</v>
      </c>
      <c r="D20" s="3">
        <v>14.2457052614114</v>
      </c>
      <c r="E20" s="3">
        <v>14.720200721500399</v>
      </c>
      <c r="F20" s="3">
        <v>11.7540296012815</v>
      </c>
      <c r="G20" s="3">
        <v>10.401433776518999</v>
      </c>
      <c r="H20" s="3">
        <v>14.9828505228532</v>
      </c>
      <c r="I20" s="3">
        <v>11.1802017708946</v>
      </c>
      <c r="J20" s="3">
        <v>16.207240262715398</v>
      </c>
      <c r="K20" s="3">
        <v>9.8792472971187397</v>
      </c>
      <c r="L20" s="3">
        <v>9.4093593960965407</v>
      </c>
      <c r="M20" s="3">
        <v>13.1199372813089</v>
      </c>
      <c r="N20" s="3">
        <v>9.2559177341994499</v>
      </c>
      <c r="O20" s="3">
        <v>16.257905143881501</v>
      </c>
      <c r="P20" s="3">
        <v>9.0610080575993397</v>
      </c>
      <c r="Q20" s="3">
        <v>9.9782973081163799</v>
      </c>
      <c r="R20" s="3">
        <v>12.6361162723649</v>
      </c>
      <c r="S20" s="3">
        <v>7.9599314846554297</v>
      </c>
      <c r="T20" s="3">
        <v>10.294043208922901</v>
      </c>
      <c r="U20" s="3">
        <v>12.173146476828901</v>
      </c>
      <c r="V20" s="3">
        <v>11.1813611608726</v>
      </c>
    </row>
    <row r="21" spans="1:22" x14ac:dyDescent="0.35">
      <c r="A21" s="2">
        <v>42419</v>
      </c>
      <c r="B21" s="3" t="e">
        <v>#N/A</v>
      </c>
      <c r="C21" s="3">
        <v>12.4754154525407</v>
      </c>
      <c r="D21" s="3">
        <v>14.8057851236264</v>
      </c>
      <c r="E21" s="3">
        <v>15.497766034917699</v>
      </c>
      <c r="F21" s="3">
        <v>13.0659168328538</v>
      </c>
      <c r="G21" s="3">
        <v>13.5263216512545</v>
      </c>
      <c r="H21" s="3">
        <v>15.495611498024701</v>
      </c>
      <c r="I21" s="3">
        <v>12.169885524686499</v>
      </c>
      <c r="J21" s="3">
        <v>17.506712248398401</v>
      </c>
      <c r="K21" s="3">
        <v>10.3157805808976</v>
      </c>
      <c r="L21" s="3">
        <v>10.792465804952</v>
      </c>
      <c r="M21" s="3">
        <v>13.9584996105906</v>
      </c>
      <c r="N21" s="3">
        <v>8.1404516282283002</v>
      </c>
      <c r="O21" s="3">
        <v>16.561540261730801</v>
      </c>
      <c r="P21" s="3">
        <v>9.0380942505101505</v>
      </c>
      <c r="Q21" s="3">
        <v>11.609279963415499</v>
      </c>
      <c r="R21" s="3">
        <v>13.615790330245799</v>
      </c>
      <c r="S21" s="3">
        <v>8.2428409185568103</v>
      </c>
      <c r="T21" s="3">
        <v>10.9932028102968</v>
      </c>
      <c r="U21" s="3">
        <v>13.529693245936899</v>
      </c>
      <c r="V21" s="3">
        <v>11.6437977562454</v>
      </c>
    </row>
    <row r="22" spans="1:22" x14ac:dyDescent="0.35">
      <c r="A22" s="2">
        <v>42447</v>
      </c>
      <c r="B22" s="3" t="e">
        <v>#N/A</v>
      </c>
      <c r="C22" s="3">
        <v>13.184069989488099</v>
      </c>
      <c r="D22" s="3">
        <v>15.4047494903116</v>
      </c>
      <c r="E22" s="3">
        <v>16.696609514173499</v>
      </c>
      <c r="F22" s="3">
        <v>13.4990758861871</v>
      </c>
      <c r="G22" s="3">
        <v>15.632999408339099</v>
      </c>
      <c r="H22" s="3">
        <v>16.134172410989301</v>
      </c>
      <c r="I22" s="3">
        <v>12.8889414181528</v>
      </c>
      <c r="J22" s="3">
        <v>18.429869671676801</v>
      </c>
      <c r="K22" s="3">
        <v>10.659205535557</v>
      </c>
      <c r="L22" s="3">
        <v>13.25225293497</v>
      </c>
      <c r="M22" s="3">
        <v>15.200260865736601</v>
      </c>
      <c r="N22" s="3">
        <v>8.3889702805485307</v>
      </c>
      <c r="O22" s="3">
        <v>17.112604389299499</v>
      </c>
      <c r="P22" s="3">
        <v>10.013693326734399</v>
      </c>
      <c r="Q22" s="3">
        <v>12.1761635537777</v>
      </c>
      <c r="R22" s="3">
        <v>14.4472508465625</v>
      </c>
      <c r="S22" s="3">
        <v>9.2820998003545405</v>
      </c>
      <c r="T22" s="3">
        <v>12.5149723748218</v>
      </c>
      <c r="U22" s="3">
        <v>14.5578946984045</v>
      </c>
      <c r="V22" s="3">
        <v>12.8751927136001</v>
      </c>
    </row>
    <row r="23" spans="1:22" x14ac:dyDescent="0.35">
      <c r="A23" s="2">
        <v>42479</v>
      </c>
      <c r="B23" s="3" t="e">
        <v>#N/A</v>
      </c>
      <c r="C23" s="3">
        <v>13.5887138532345</v>
      </c>
      <c r="D23" s="3">
        <v>15.1158171316662</v>
      </c>
      <c r="E23" s="3">
        <v>16.588125332872401</v>
      </c>
      <c r="F23" s="3">
        <v>13.272469436255401</v>
      </c>
      <c r="G23" s="3">
        <v>16.084946443004199</v>
      </c>
      <c r="H23" s="3">
        <v>16.100434573363</v>
      </c>
      <c r="I23" s="3">
        <v>12.617880128412599</v>
      </c>
      <c r="J23" s="3">
        <v>19.646929434541399</v>
      </c>
      <c r="K23" s="3">
        <v>10.618196604883</v>
      </c>
      <c r="L23" s="3">
        <v>13.8249115606746</v>
      </c>
      <c r="M23" s="3">
        <v>15.2456309721523</v>
      </c>
      <c r="N23" s="3">
        <v>10.059707963101699</v>
      </c>
      <c r="O23" s="3">
        <v>17.542746506643599</v>
      </c>
      <c r="P23" s="3">
        <v>10.432672564419001</v>
      </c>
      <c r="Q23" s="3">
        <v>12.2493119783406</v>
      </c>
      <c r="R23" s="3">
        <v>14.611887083798701</v>
      </c>
      <c r="S23" s="3">
        <v>9.4142952385884104</v>
      </c>
      <c r="T23" s="3">
        <v>13.3181008789869</v>
      </c>
      <c r="U23" s="3">
        <v>12.5545172788038</v>
      </c>
      <c r="V23" s="3">
        <v>12.864274398925399</v>
      </c>
    </row>
    <row r="24" spans="1:22" x14ac:dyDescent="0.35">
      <c r="A24" s="2">
        <v>42509</v>
      </c>
      <c r="B24" s="3" t="e">
        <v>#N/A</v>
      </c>
      <c r="C24" s="3">
        <v>13.535723793417199</v>
      </c>
      <c r="D24" s="3">
        <v>14.2406431626934</v>
      </c>
      <c r="E24" s="3">
        <v>16.369483088557999</v>
      </c>
      <c r="F24" s="3">
        <v>11.819881700754101</v>
      </c>
      <c r="G24" s="3">
        <v>14.7363824482157</v>
      </c>
      <c r="H24" s="3">
        <v>15.4537195095992</v>
      </c>
      <c r="I24" s="3">
        <v>12.0517789550182</v>
      </c>
      <c r="J24" s="3">
        <v>19.194001323335499</v>
      </c>
      <c r="K24" s="3">
        <v>9.8116545243571593</v>
      </c>
      <c r="L24" s="3">
        <v>12.415114276994199</v>
      </c>
      <c r="M24" s="3">
        <v>13.9434745441442</v>
      </c>
      <c r="N24" s="3">
        <v>10.6423363753141</v>
      </c>
      <c r="O24" s="3">
        <v>17.156731470420102</v>
      </c>
      <c r="P24" s="3">
        <v>9.4898027068920605</v>
      </c>
      <c r="Q24" s="3">
        <v>11.451475351174601</v>
      </c>
      <c r="R24" s="3">
        <v>14.179423701403699</v>
      </c>
      <c r="S24" s="3">
        <v>8.4329667652019804</v>
      </c>
      <c r="T24" s="3">
        <v>12.3821126341363</v>
      </c>
      <c r="U24" s="3">
        <v>12.926259491678</v>
      </c>
      <c r="V24" s="3">
        <v>13.5729804368177</v>
      </c>
    </row>
    <row r="25" spans="1:22" x14ac:dyDescent="0.35">
      <c r="A25" s="2">
        <v>42538</v>
      </c>
      <c r="B25" s="3" t="e">
        <v>#N/A</v>
      </c>
      <c r="C25" s="3">
        <v>13.709973936325399</v>
      </c>
      <c r="D25" s="3">
        <v>14.885359132280101</v>
      </c>
      <c r="E25" s="3">
        <v>17.177274544287599</v>
      </c>
      <c r="F25" s="3">
        <v>11.549435145548101</v>
      </c>
      <c r="G25" s="3">
        <v>14.0697438389687</v>
      </c>
      <c r="H25" s="3">
        <v>15.955441102855399</v>
      </c>
      <c r="I25" s="3">
        <v>12.9619669784579</v>
      </c>
      <c r="J25" s="3">
        <v>18.316955237272001</v>
      </c>
      <c r="K25" s="3">
        <v>9.8383794022789797</v>
      </c>
      <c r="L25" s="3">
        <v>12.077242438135499</v>
      </c>
      <c r="M25" s="3">
        <v>14.450268925122</v>
      </c>
      <c r="N25" s="3">
        <v>9.1381943424034997</v>
      </c>
      <c r="O25" s="3">
        <v>17.521122375316999</v>
      </c>
      <c r="P25" s="3">
        <v>10.4893483015346</v>
      </c>
      <c r="Q25" s="3">
        <v>11.6985473208104</v>
      </c>
      <c r="R25" s="3">
        <v>14.528627930816601</v>
      </c>
      <c r="S25" s="3">
        <v>8.1618370031191994</v>
      </c>
      <c r="T25" s="3">
        <v>12.2049712234254</v>
      </c>
      <c r="U25" s="3">
        <v>12.302618208181499</v>
      </c>
      <c r="V25" s="3">
        <v>13.6959097475837</v>
      </c>
    </row>
    <row r="26" spans="1:22" x14ac:dyDescent="0.35">
      <c r="A26" s="2">
        <v>42570</v>
      </c>
      <c r="B26" s="3">
        <v>13.7795237925988</v>
      </c>
      <c r="C26" s="3">
        <v>15.266998632893999</v>
      </c>
      <c r="D26" s="3">
        <v>16.285323668773199</v>
      </c>
      <c r="E26" s="3">
        <v>17.986716553377398</v>
      </c>
      <c r="F26" s="3">
        <v>11.673895779730501</v>
      </c>
      <c r="G26" s="3">
        <v>14.4361484834228</v>
      </c>
      <c r="H26" s="3">
        <v>16.509599039871802</v>
      </c>
      <c r="I26" s="3">
        <v>13.6201980419356</v>
      </c>
      <c r="J26" s="3">
        <v>18.625020418346399</v>
      </c>
      <c r="K26" s="3">
        <v>10.113117143360499</v>
      </c>
      <c r="L26" s="3">
        <v>13.589777278852599</v>
      </c>
      <c r="M26" s="3">
        <v>15.3255575623281</v>
      </c>
      <c r="N26" s="3">
        <v>9.1183456069668996</v>
      </c>
      <c r="O26" s="3">
        <v>18.063743942900501</v>
      </c>
      <c r="P26" s="3">
        <v>11.346323222102599</v>
      </c>
      <c r="Q26" s="3">
        <v>12.6244339432914</v>
      </c>
      <c r="R26" s="3">
        <v>15.190495996890601</v>
      </c>
      <c r="S26" s="3">
        <v>8.1904695506197296</v>
      </c>
      <c r="T26" s="3">
        <v>12.9860445797416</v>
      </c>
      <c r="U26" s="3">
        <v>12.526729866082199</v>
      </c>
      <c r="V26" s="3">
        <v>13.5740609107133</v>
      </c>
    </row>
    <row r="27" spans="1:22" x14ac:dyDescent="0.35">
      <c r="A27" s="2">
        <v>42601</v>
      </c>
      <c r="B27" s="3">
        <v>14.060473498200199</v>
      </c>
      <c r="C27" s="3">
        <v>15.662835622616999</v>
      </c>
      <c r="D27" s="3">
        <v>16.724327501320701</v>
      </c>
      <c r="E27" s="3">
        <v>18.143770683703501</v>
      </c>
      <c r="F27" s="3">
        <v>12.161489390206</v>
      </c>
      <c r="G27" s="3">
        <v>14.467379315294499</v>
      </c>
      <c r="H27" s="3">
        <v>16.7032921089232</v>
      </c>
      <c r="I27" s="3">
        <v>13.6027278169838</v>
      </c>
      <c r="J27" s="3">
        <v>18.830574888927998</v>
      </c>
      <c r="K27" s="3">
        <v>10.1962014544404</v>
      </c>
      <c r="L27" s="3">
        <v>14.0858040354087</v>
      </c>
      <c r="M27" s="3">
        <v>15.701477800950499</v>
      </c>
      <c r="N27" s="3">
        <v>8.5144285727883897</v>
      </c>
      <c r="O27" s="3">
        <v>18.127508614238799</v>
      </c>
      <c r="P27" s="3">
        <v>12.1740780658779</v>
      </c>
      <c r="Q27" s="3">
        <v>13.7407005216547</v>
      </c>
      <c r="R27" s="3">
        <v>15.275399730149401</v>
      </c>
      <c r="S27" s="3">
        <v>8.4816737544826299</v>
      </c>
      <c r="T27" s="3">
        <v>12.6341475067358</v>
      </c>
      <c r="U27" s="3">
        <v>11.7511839961753</v>
      </c>
      <c r="V27" s="3">
        <v>12.643363485120799</v>
      </c>
    </row>
    <row r="28" spans="1:22" x14ac:dyDescent="0.35">
      <c r="A28" s="2">
        <v>42632</v>
      </c>
      <c r="B28" s="3">
        <v>13.644853174952299</v>
      </c>
      <c r="C28" s="3">
        <v>15.3098653824796</v>
      </c>
      <c r="D28" s="3">
        <v>16.110410625663199</v>
      </c>
      <c r="E28" s="3">
        <v>16.992879656351199</v>
      </c>
      <c r="F28" s="3">
        <v>11.6305072615163</v>
      </c>
      <c r="G28" s="3">
        <v>13.4966482228195</v>
      </c>
      <c r="H28" s="3">
        <v>16.578829651367801</v>
      </c>
      <c r="I28" s="3">
        <v>13.6666062523962</v>
      </c>
      <c r="J28" s="3">
        <v>17.352729495200901</v>
      </c>
      <c r="K28" s="3">
        <v>9.9752680861876701</v>
      </c>
      <c r="L28" s="3">
        <v>13.5222250617607</v>
      </c>
      <c r="M28" s="3">
        <v>14.9663069460555</v>
      </c>
      <c r="N28" s="3">
        <v>8.52107250327097</v>
      </c>
      <c r="O28" s="3">
        <v>17.973869387445902</v>
      </c>
      <c r="P28" s="3">
        <v>12.3809952503989</v>
      </c>
      <c r="Q28" s="3">
        <v>12.329941492598</v>
      </c>
      <c r="R28" s="3">
        <v>14.640502475764301</v>
      </c>
      <c r="S28" s="3">
        <v>8.3805560630895304</v>
      </c>
      <c r="T28" s="3">
        <v>12.1644970917849</v>
      </c>
      <c r="U28" s="3">
        <v>12.4521981808889</v>
      </c>
      <c r="V28" s="3">
        <v>12.122306530823201</v>
      </c>
    </row>
    <row r="29" spans="1:22" x14ac:dyDescent="0.35">
      <c r="A29" s="2">
        <v>42662</v>
      </c>
      <c r="B29" s="3">
        <v>13.746612886179101</v>
      </c>
      <c r="C29" s="3">
        <v>16.510565423628201</v>
      </c>
      <c r="D29" s="3">
        <v>16.441520015173399</v>
      </c>
      <c r="E29" s="3">
        <v>17.106407740895101</v>
      </c>
      <c r="F29" s="3">
        <v>11.638322209219</v>
      </c>
      <c r="G29" s="3">
        <v>12.7151940919167</v>
      </c>
      <c r="H29" s="3">
        <v>16.782007847910599</v>
      </c>
      <c r="I29" s="3">
        <v>13.687502978345</v>
      </c>
      <c r="J29" s="3">
        <v>18.3164986235981</v>
      </c>
      <c r="K29" s="3">
        <v>10.064569309373899</v>
      </c>
      <c r="L29" s="3">
        <v>14.663054520417299</v>
      </c>
      <c r="M29" s="3">
        <v>14.5965419870441</v>
      </c>
      <c r="N29" s="3">
        <v>9.0013080115937001</v>
      </c>
      <c r="O29" s="3">
        <v>17.649123853200301</v>
      </c>
      <c r="P29" s="3">
        <v>12.288296418489701</v>
      </c>
      <c r="Q29" s="3">
        <v>12.9644645896536</v>
      </c>
      <c r="R29" s="3">
        <v>14.5347431404715</v>
      </c>
      <c r="S29" s="3">
        <v>8.3853988146302694</v>
      </c>
      <c r="T29" s="3">
        <v>12.1277918239168</v>
      </c>
      <c r="U29" s="3">
        <v>13.322609270507099</v>
      </c>
      <c r="V29" s="3">
        <v>11.2885577234357</v>
      </c>
    </row>
    <row r="30" spans="1:22" x14ac:dyDescent="0.35">
      <c r="A30" s="2">
        <v>42692</v>
      </c>
      <c r="B30" s="3">
        <v>14.0313431092834</v>
      </c>
      <c r="C30" s="3">
        <v>15.954840620503299</v>
      </c>
      <c r="D30" s="3">
        <v>15.0530850150279</v>
      </c>
      <c r="E30" s="3">
        <v>15.6750338745644</v>
      </c>
      <c r="F30" s="3">
        <v>11.217325686978</v>
      </c>
      <c r="G30" s="3">
        <v>11.4716384611003</v>
      </c>
      <c r="H30" s="3">
        <v>16.2427690873619</v>
      </c>
      <c r="I30" s="3">
        <v>12.911205537991099</v>
      </c>
      <c r="J30" s="3">
        <v>16.437604885084799</v>
      </c>
      <c r="K30" s="3">
        <v>9.5950279989476197</v>
      </c>
      <c r="L30" s="3">
        <v>13.518888323193201</v>
      </c>
      <c r="M30" s="3">
        <v>14.1292526890315</v>
      </c>
      <c r="N30" s="3">
        <v>9.2222469615257907</v>
      </c>
      <c r="O30" s="3">
        <v>16.080473081784501</v>
      </c>
      <c r="P30" s="3">
        <v>11.7359416747636</v>
      </c>
      <c r="Q30" s="3">
        <v>12.1909818873993</v>
      </c>
      <c r="R30" s="3">
        <v>14.393284909991101</v>
      </c>
      <c r="S30" s="3">
        <v>7.7007445744419103</v>
      </c>
      <c r="T30" s="3">
        <v>11.495405362568601</v>
      </c>
      <c r="U30" s="3">
        <v>12.4861295106295</v>
      </c>
      <c r="V30" s="3">
        <v>13.5497003298933</v>
      </c>
    </row>
    <row r="31" spans="1:22" x14ac:dyDescent="0.35">
      <c r="A31" s="2">
        <v>42723</v>
      </c>
      <c r="B31" s="3">
        <v>13.3793023227561</v>
      </c>
      <c r="C31" s="3">
        <v>15.630446020241401</v>
      </c>
      <c r="D31" s="3">
        <v>14.772494188736699</v>
      </c>
      <c r="E31" s="3">
        <v>15.0243892914539</v>
      </c>
      <c r="F31" s="3">
        <v>11.8135799473209</v>
      </c>
      <c r="G31" s="3">
        <v>11.246472707236601</v>
      </c>
      <c r="H31" s="3">
        <v>16.384217908175199</v>
      </c>
      <c r="I31" s="3">
        <v>12.9744203462205</v>
      </c>
      <c r="J31" s="3">
        <v>16.114698794110002</v>
      </c>
      <c r="K31" s="3">
        <v>9.8868118871925592</v>
      </c>
      <c r="L31" s="3">
        <v>12.1903992548008</v>
      </c>
      <c r="M31" s="3">
        <v>14.123329585147401</v>
      </c>
      <c r="N31" s="3">
        <v>8.7894865065755905</v>
      </c>
      <c r="O31" s="3">
        <v>16.153080015837801</v>
      </c>
      <c r="P31" s="3">
        <v>11.307438186398899</v>
      </c>
      <c r="Q31" s="3">
        <v>12.956534184188699</v>
      </c>
      <c r="R31" s="3">
        <v>14.747565845210801</v>
      </c>
      <c r="S31" s="3">
        <v>7.6132723194326397</v>
      </c>
      <c r="T31" s="3">
        <v>11.653508264677599</v>
      </c>
      <c r="U31" s="3">
        <v>12.4695851450464</v>
      </c>
      <c r="V31" s="3">
        <v>13.988049302747299</v>
      </c>
    </row>
    <row r="32" spans="1:22" x14ac:dyDescent="0.35">
      <c r="A32" s="2">
        <v>42754</v>
      </c>
      <c r="B32" s="3">
        <v>13.106208768969701</v>
      </c>
      <c r="C32" s="3">
        <v>15.670414234864699</v>
      </c>
      <c r="D32" s="3">
        <v>15.2251467437515</v>
      </c>
      <c r="E32" s="3">
        <v>16.662990376777501</v>
      </c>
      <c r="F32" s="3">
        <v>11.8703708099219</v>
      </c>
      <c r="G32" s="3">
        <v>12.1010531924042</v>
      </c>
      <c r="H32" s="3">
        <v>16.562240885925998</v>
      </c>
      <c r="I32" s="3">
        <v>12.911663325968499</v>
      </c>
      <c r="J32" s="3">
        <v>16.016103539906499</v>
      </c>
      <c r="K32" s="3">
        <v>9.8106127026008991</v>
      </c>
      <c r="L32" s="3">
        <v>13.232979524833899</v>
      </c>
      <c r="M32" s="3">
        <v>15.092794244360199</v>
      </c>
      <c r="N32" s="3">
        <v>9.1732724918165598</v>
      </c>
      <c r="O32" s="3">
        <v>16.740299744316498</v>
      </c>
      <c r="P32" s="3">
        <v>11.883723977152499</v>
      </c>
      <c r="Q32" s="3">
        <v>13.894953069341</v>
      </c>
      <c r="R32" s="3">
        <v>14.9059748253904</v>
      </c>
      <c r="S32" s="3">
        <v>8.0441387999229708</v>
      </c>
      <c r="T32" s="3">
        <v>12.1955756763299</v>
      </c>
      <c r="U32" s="3">
        <v>12.3891797531726</v>
      </c>
      <c r="V32" s="3">
        <v>14.108274022162499</v>
      </c>
    </row>
    <row r="33" spans="1:22" x14ac:dyDescent="0.35">
      <c r="A33" s="2">
        <v>42783</v>
      </c>
      <c r="B33" s="3">
        <v>13.054612987103599</v>
      </c>
      <c r="C33" s="3">
        <v>16.069168147163001</v>
      </c>
      <c r="D33" s="3">
        <v>15.178641282232901</v>
      </c>
      <c r="E33" s="3">
        <v>16.570267557586199</v>
      </c>
      <c r="F33" s="3">
        <v>12.7806344595362</v>
      </c>
      <c r="G33" s="3">
        <v>13.4655797606889</v>
      </c>
      <c r="H33" s="3">
        <v>16.750022549419398</v>
      </c>
      <c r="I33" s="3">
        <v>13.1436216730994</v>
      </c>
      <c r="J33" s="3">
        <v>16.383931448004098</v>
      </c>
      <c r="K33" s="3">
        <v>9.4222816926571102</v>
      </c>
      <c r="L33" s="3">
        <v>13.782728460162099</v>
      </c>
      <c r="M33" s="3">
        <v>15.4141570739356</v>
      </c>
      <c r="N33" s="3">
        <v>8.8421372946583308</v>
      </c>
      <c r="O33" s="3">
        <v>17.660149788318598</v>
      </c>
      <c r="P33" s="3">
        <v>12.401214650503601</v>
      </c>
      <c r="Q33" s="3">
        <v>13.440986779686099</v>
      </c>
      <c r="R33" s="3">
        <v>15.081129595503199</v>
      </c>
      <c r="S33" s="3">
        <v>8.6423529837716</v>
      </c>
      <c r="T33" s="3">
        <v>12.41047611544</v>
      </c>
      <c r="U33" s="3">
        <v>13.273691408818101</v>
      </c>
      <c r="V33" s="3">
        <v>14.422016624063399</v>
      </c>
    </row>
    <row r="34" spans="1:22" x14ac:dyDescent="0.35">
      <c r="A34" s="2">
        <v>42811</v>
      </c>
      <c r="B34" s="3">
        <v>13.2259543670698</v>
      </c>
      <c r="C34" s="3">
        <v>16.505195898517702</v>
      </c>
      <c r="D34" s="3">
        <v>15.404798837338801</v>
      </c>
      <c r="E34" s="3">
        <v>16.9618716545775</v>
      </c>
      <c r="F34" s="3">
        <v>12.7590001173423</v>
      </c>
      <c r="G34" s="3">
        <v>13.214772209906</v>
      </c>
      <c r="H34" s="3">
        <v>16.9690536941558</v>
      </c>
      <c r="I34" s="3">
        <v>13.270569265497199</v>
      </c>
      <c r="J34" s="3">
        <v>16.932167318216798</v>
      </c>
      <c r="K34" s="3">
        <v>9.7759631895264594</v>
      </c>
      <c r="L34" s="3">
        <v>12.7093886976668</v>
      </c>
      <c r="M34" s="3">
        <v>16.1972505903599</v>
      </c>
      <c r="N34" s="3">
        <v>9.2209031299117701</v>
      </c>
      <c r="O34" s="3">
        <v>17.9922840093869</v>
      </c>
      <c r="P34" s="3">
        <v>12.6646871436865</v>
      </c>
      <c r="Q34" s="3">
        <v>12.7918310245181</v>
      </c>
      <c r="R34" s="3">
        <v>14.9080257090736</v>
      </c>
      <c r="S34" s="3">
        <v>8.5534895904818899</v>
      </c>
      <c r="T34" s="3">
        <v>11.9461344128287</v>
      </c>
      <c r="U34" s="3">
        <v>13.1172401789193</v>
      </c>
      <c r="V34" s="3">
        <v>14.1316002272573</v>
      </c>
    </row>
    <row r="35" spans="1:22" x14ac:dyDescent="0.35">
      <c r="A35" s="2">
        <v>42844</v>
      </c>
      <c r="B35" s="3">
        <v>13.302211414259</v>
      </c>
      <c r="C35" s="3">
        <v>17.325329925999899</v>
      </c>
      <c r="D35" s="3">
        <v>15.254312139817801</v>
      </c>
      <c r="E35" s="3">
        <v>17.167237967323</v>
      </c>
      <c r="F35" s="3">
        <v>12.5273124848904</v>
      </c>
      <c r="G35" s="3">
        <v>11.823090601902299</v>
      </c>
      <c r="H35" s="3">
        <v>16.7762735415116</v>
      </c>
      <c r="I35" s="3">
        <v>12.8416986138611</v>
      </c>
      <c r="J35" s="3">
        <v>16.753698412237298</v>
      </c>
      <c r="K35" s="3">
        <v>9.0775091694313303</v>
      </c>
      <c r="L35" s="3">
        <v>12.384628081848099</v>
      </c>
      <c r="M35" s="3">
        <v>15.874754984214</v>
      </c>
      <c r="N35" s="3">
        <v>10.678378036794699</v>
      </c>
      <c r="O35" s="3">
        <v>17.8648831256988</v>
      </c>
      <c r="P35" s="3">
        <v>12.2941471960321</v>
      </c>
      <c r="Q35" s="3">
        <v>13.040557552319299</v>
      </c>
      <c r="R35" s="3">
        <v>14.837039661088999</v>
      </c>
      <c r="S35" s="3">
        <v>8.3836054850180695</v>
      </c>
      <c r="T35" s="3">
        <v>12.1040180344074</v>
      </c>
      <c r="U35" s="3">
        <v>13.898947005674099</v>
      </c>
      <c r="V35" s="3">
        <v>13.7968709259366</v>
      </c>
    </row>
    <row r="36" spans="1:22" x14ac:dyDescent="0.35">
      <c r="A36" s="2">
        <v>42874</v>
      </c>
      <c r="B36" s="3">
        <v>13.2450697404546</v>
      </c>
      <c r="C36" s="3">
        <v>17.2422249271197</v>
      </c>
      <c r="D36" s="3">
        <v>15.8730848292295</v>
      </c>
      <c r="E36" s="3">
        <v>17.197596051805998</v>
      </c>
      <c r="F36" s="3">
        <v>12.4111642355761</v>
      </c>
      <c r="G36" s="3">
        <v>12.007792518184001</v>
      </c>
      <c r="H36" s="3">
        <v>16.979248641641</v>
      </c>
      <c r="I36" s="3">
        <v>13.2554788601374</v>
      </c>
      <c r="J36" s="3">
        <v>16.5277323108735</v>
      </c>
      <c r="K36" s="3">
        <v>9.3886132301122505</v>
      </c>
      <c r="L36" s="3">
        <v>12.0950490834199</v>
      </c>
      <c r="M36" s="3">
        <v>16.272988439282599</v>
      </c>
      <c r="N36" s="3">
        <v>13.535030543627</v>
      </c>
      <c r="O36" s="3">
        <v>18.1273423151261</v>
      </c>
      <c r="P36" s="3">
        <v>12.9420413822493</v>
      </c>
      <c r="Q36" s="3">
        <v>13.018615399295401</v>
      </c>
      <c r="R36" s="3">
        <v>14.5574128320364</v>
      </c>
      <c r="S36" s="3">
        <v>8.5163487121493908</v>
      </c>
      <c r="T36" s="3">
        <v>11.6460512238754</v>
      </c>
      <c r="U36" s="3">
        <v>14.5357218943441</v>
      </c>
      <c r="V36" s="3">
        <v>13.5177591427416</v>
      </c>
    </row>
    <row r="37" spans="1:22" x14ac:dyDescent="0.35">
      <c r="A37" s="2">
        <v>42905</v>
      </c>
      <c r="B37" s="3">
        <v>13.929596196729401</v>
      </c>
      <c r="C37" s="3">
        <v>17.1320070805832</v>
      </c>
      <c r="D37" s="3">
        <v>15.5482284018681</v>
      </c>
      <c r="E37" s="3">
        <v>17.741278019382399</v>
      </c>
      <c r="F37" s="3">
        <v>12.505667376868301</v>
      </c>
      <c r="G37" s="3">
        <v>11.678165404377101</v>
      </c>
      <c r="H37" s="3">
        <v>16.702498072027101</v>
      </c>
      <c r="I37" s="3">
        <v>13.7044206114868</v>
      </c>
      <c r="J37" s="3">
        <v>16.592638457847599</v>
      </c>
      <c r="K37" s="3">
        <v>9.5288900841090101</v>
      </c>
      <c r="L37" s="3">
        <v>11.8389511664276</v>
      </c>
      <c r="M37" s="3">
        <v>15.242743482440201</v>
      </c>
      <c r="N37" s="3">
        <v>12.964304007671201</v>
      </c>
      <c r="O37" s="3">
        <v>18.163506857515301</v>
      </c>
      <c r="P37" s="3">
        <v>13.0385587734885</v>
      </c>
      <c r="Q37" s="3">
        <v>12.063123087988799</v>
      </c>
      <c r="R37" s="3">
        <v>14.882169900336701</v>
      </c>
      <c r="S37" s="3">
        <v>8.6627328184099301</v>
      </c>
      <c r="T37" s="3">
        <v>11.326073794073301</v>
      </c>
      <c r="U37" s="3">
        <v>15.665091965518799</v>
      </c>
      <c r="V37" s="3">
        <v>14.072354207371401</v>
      </c>
    </row>
    <row r="38" spans="1:22" x14ac:dyDescent="0.35">
      <c r="A38" s="2">
        <v>42935</v>
      </c>
      <c r="B38" s="3">
        <v>14.2190568037208</v>
      </c>
      <c r="C38" s="3">
        <v>17.7163003925311</v>
      </c>
      <c r="D38" s="3">
        <v>15.6029909292856</v>
      </c>
      <c r="E38" s="3">
        <v>16.879537954662201</v>
      </c>
      <c r="F38" s="3">
        <v>12.732891100224901</v>
      </c>
      <c r="G38" s="3">
        <v>12.281586547078</v>
      </c>
      <c r="H38" s="3">
        <v>16.300867507507199</v>
      </c>
      <c r="I38" s="3">
        <v>14.1056855978177</v>
      </c>
      <c r="J38" s="3">
        <v>17.0798827500908</v>
      </c>
      <c r="K38" s="3">
        <v>9.6153420984114604</v>
      </c>
      <c r="L38" s="3">
        <v>12.296040391072101</v>
      </c>
      <c r="M38" s="3">
        <v>15.7409056067169</v>
      </c>
      <c r="N38" s="3">
        <v>13.190474375086101</v>
      </c>
      <c r="O38" s="3">
        <v>18.7787867122689</v>
      </c>
      <c r="P38" s="3">
        <v>13.458961480135001</v>
      </c>
      <c r="Q38" s="3">
        <v>12.496220867530701</v>
      </c>
      <c r="R38" s="3">
        <v>14.6413893013363</v>
      </c>
      <c r="S38" s="3">
        <v>9.0167275392908195</v>
      </c>
      <c r="T38" s="3">
        <v>11.700201419774</v>
      </c>
      <c r="U38" s="3">
        <v>14.9950342429877</v>
      </c>
      <c r="V38" s="3">
        <v>14.419988373127</v>
      </c>
    </row>
    <row r="39" spans="1:22" x14ac:dyDescent="0.35">
      <c r="A39" s="2">
        <v>42965</v>
      </c>
      <c r="B39" s="3">
        <v>13.935452134058</v>
      </c>
      <c r="C39" s="3">
        <v>18.117424917808702</v>
      </c>
      <c r="D39" s="3">
        <v>15.715625657137</v>
      </c>
      <c r="E39" s="3">
        <v>16.5463325916675</v>
      </c>
      <c r="F39" s="3">
        <v>12.470770005033399</v>
      </c>
      <c r="G39" s="3">
        <v>12.9317477577759</v>
      </c>
      <c r="H39" s="3">
        <v>16.376761633286101</v>
      </c>
      <c r="I39" s="3">
        <v>13.8171545960909</v>
      </c>
      <c r="J39" s="3">
        <v>17.112856145064899</v>
      </c>
      <c r="K39" s="3">
        <v>9.1259189505791394</v>
      </c>
      <c r="L39" s="3">
        <v>13.050214659632401</v>
      </c>
      <c r="M39" s="3">
        <v>15.7457476742512</v>
      </c>
      <c r="N39" s="3">
        <v>12.279136269500899</v>
      </c>
      <c r="O39" s="3">
        <v>18.613069586264402</v>
      </c>
      <c r="P39" s="3">
        <v>13.430602022275901</v>
      </c>
      <c r="Q39" s="3">
        <v>12.101783107213</v>
      </c>
      <c r="R39" s="3">
        <v>14.6650443118385</v>
      </c>
      <c r="S39" s="3">
        <v>8.5442057780707295</v>
      </c>
      <c r="T39" s="3">
        <v>11.6590966084659</v>
      </c>
      <c r="U39" s="3">
        <v>15.685843095716899</v>
      </c>
      <c r="V39" s="3">
        <v>13.8046839068964</v>
      </c>
    </row>
    <row r="40" spans="1:22" x14ac:dyDescent="0.35">
      <c r="A40" s="2">
        <v>42997</v>
      </c>
      <c r="B40" s="3">
        <v>14.2972634560715</v>
      </c>
      <c r="C40" s="3">
        <v>18.902833199122799</v>
      </c>
      <c r="D40" s="3">
        <v>15.4888360283173</v>
      </c>
      <c r="E40" s="3">
        <v>17.0432079313114</v>
      </c>
      <c r="F40" s="3">
        <v>12.5162982210522</v>
      </c>
      <c r="G40" s="3">
        <v>12.9724340809405</v>
      </c>
      <c r="H40" s="3">
        <v>16.420892370999599</v>
      </c>
      <c r="I40" s="3">
        <v>13.782929394789701</v>
      </c>
      <c r="J40" s="3">
        <v>16.813945808231701</v>
      </c>
      <c r="K40" s="3">
        <v>9.3001334499143091</v>
      </c>
      <c r="L40" s="3">
        <v>14.183889034940499</v>
      </c>
      <c r="M40" s="3">
        <v>15.104640670343199</v>
      </c>
      <c r="N40" s="3">
        <v>10.944384347234701</v>
      </c>
      <c r="O40" s="3">
        <v>19.045120799341198</v>
      </c>
      <c r="P40" s="3">
        <v>13.7794313323433</v>
      </c>
      <c r="Q40" s="3">
        <v>10.762576244234101</v>
      </c>
      <c r="R40" s="3">
        <v>15.5294788515963</v>
      </c>
      <c r="S40" s="3">
        <v>8.2390855010382396</v>
      </c>
      <c r="T40" s="3">
        <v>11.226013564979599</v>
      </c>
      <c r="U40" s="3">
        <v>15.9705212300863</v>
      </c>
      <c r="V40" s="3">
        <v>13.8836954134163</v>
      </c>
    </row>
    <row r="41" spans="1:22" x14ac:dyDescent="0.35">
      <c r="A41" s="2">
        <v>43027</v>
      </c>
      <c r="B41" s="3">
        <v>14.381178825933301</v>
      </c>
      <c r="C41" s="3">
        <v>15.314544782785299</v>
      </c>
      <c r="D41" s="3">
        <v>15.413269209609499</v>
      </c>
      <c r="E41" s="3">
        <v>18.141151368556599</v>
      </c>
      <c r="F41" s="3">
        <v>12.0834087142416</v>
      </c>
      <c r="G41" s="3">
        <v>13.2204402803162</v>
      </c>
      <c r="H41" s="3">
        <v>16.010212965860401</v>
      </c>
      <c r="I41" s="3">
        <v>13.791339674180101</v>
      </c>
      <c r="J41" s="3">
        <v>16.335577832413801</v>
      </c>
      <c r="K41" s="3">
        <v>9.3802355132078308</v>
      </c>
      <c r="L41" s="3">
        <v>13.999205617384</v>
      </c>
      <c r="M41" s="3">
        <v>15.512305466442299</v>
      </c>
      <c r="N41" s="3">
        <v>11.995973117373</v>
      </c>
      <c r="O41" s="3">
        <v>18.685873307530901</v>
      </c>
      <c r="P41" s="3">
        <v>13.6578797853143</v>
      </c>
      <c r="Q41" s="3">
        <v>10.8354424436138</v>
      </c>
      <c r="R41" s="3">
        <v>15.4386036035317</v>
      </c>
      <c r="S41" s="3">
        <v>8.3295952564596796</v>
      </c>
      <c r="T41" s="3">
        <v>11.4935733179164</v>
      </c>
      <c r="U41" s="3">
        <v>16.157783418399699</v>
      </c>
      <c r="V41" s="3">
        <v>13.047617770208801</v>
      </c>
    </row>
    <row r="42" spans="1:22" x14ac:dyDescent="0.35">
      <c r="A42" s="2">
        <v>43056</v>
      </c>
      <c r="B42" s="3">
        <v>14.699470642324201</v>
      </c>
      <c r="C42" s="3">
        <v>14.0315338900356</v>
      </c>
      <c r="D42" s="3">
        <v>15.463208990324301</v>
      </c>
      <c r="E42" s="3">
        <v>17.462116307397501</v>
      </c>
      <c r="F42" s="3">
        <v>11.7850066070095</v>
      </c>
      <c r="G42" s="3">
        <v>12.727703125383901</v>
      </c>
      <c r="H42" s="3">
        <v>15.587678558459</v>
      </c>
      <c r="I42" s="3">
        <v>13.711595577834901</v>
      </c>
      <c r="J42" s="3">
        <v>15.712425643239399</v>
      </c>
      <c r="K42" s="3">
        <v>9.3872187052698095</v>
      </c>
      <c r="L42" s="3">
        <v>13.155124467106999</v>
      </c>
      <c r="M42" s="3">
        <v>15.903473334590601</v>
      </c>
      <c r="N42" s="3">
        <v>11.404304740912901</v>
      </c>
      <c r="O42" s="3">
        <v>18.708040797051002</v>
      </c>
      <c r="P42" s="3">
        <v>14.0043025221278</v>
      </c>
      <c r="Q42" s="3">
        <v>10.863134153454499</v>
      </c>
      <c r="R42" s="3">
        <v>15.650890113063101</v>
      </c>
      <c r="S42" s="3">
        <v>8.0163882995898099</v>
      </c>
      <c r="T42" s="3">
        <v>10.7581234967223</v>
      </c>
      <c r="U42" s="3">
        <v>17.058099963963901</v>
      </c>
      <c r="V42" s="3">
        <v>12.956894792662499</v>
      </c>
    </row>
    <row r="43" spans="1:22" x14ac:dyDescent="0.35">
      <c r="A43" s="2">
        <v>43088</v>
      </c>
      <c r="B43" s="3">
        <v>13.874526099834499</v>
      </c>
      <c r="C43" s="3">
        <v>14.271424781857</v>
      </c>
      <c r="D43" s="3">
        <v>15.4101138481674</v>
      </c>
      <c r="E43" s="3">
        <v>17.2609698547991</v>
      </c>
      <c r="F43" s="3">
        <v>11.8811647164127</v>
      </c>
      <c r="G43" s="3">
        <v>12.4387277990695</v>
      </c>
      <c r="H43" s="3">
        <v>15.937843754837299</v>
      </c>
      <c r="I43" s="3">
        <v>13.071027143171101</v>
      </c>
      <c r="J43" s="3">
        <v>15.765587877036999</v>
      </c>
      <c r="K43" s="3">
        <v>9.15080351852205</v>
      </c>
      <c r="L43" s="3">
        <v>12.930185398694601</v>
      </c>
      <c r="M43" s="3">
        <v>14.819595242770299</v>
      </c>
      <c r="N43" s="3">
        <v>14.041661668342201</v>
      </c>
      <c r="O43" s="3">
        <v>18.9193412805813</v>
      </c>
      <c r="P43" s="3">
        <v>13.320136208870601</v>
      </c>
      <c r="Q43" s="3">
        <v>11.894204271819</v>
      </c>
      <c r="R43" s="3">
        <v>15.7355947719988</v>
      </c>
      <c r="S43" s="3">
        <v>7.9045639507788801</v>
      </c>
      <c r="T43" s="3">
        <v>10.8132909225479</v>
      </c>
      <c r="U43" s="3">
        <v>18.712085684564599</v>
      </c>
      <c r="V43" s="3">
        <v>13.234502157608</v>
      </c>
    </row>
    <row r="44" spans="1:22" x14ac:dyDescent="0.35">
      <c r="A44" s="2">
        <v>43119</v>
      </c>
      <c r="B44" s="3">
        <v>14.3523970210338</v>
      </c>
      <c r="C44" s="3">
        <v>14.7270921428427</v>
      </c>
      <c r="D44" s="3">
        <v>16.006970385362301</v>
      </c>
      <c r="E44" s="3">
        <v>18.138684165276899</v>
      </c>
      <c r="F44" s="3">
        <v>12.8276777910859</v>
      </c>
      <c r="G44" s="3">
        <v>14.2848228862126</v>
      </c>
      <c r="H44" s="3">
        <v>16.701632286253599</v>
      </c>
      <c r="I44" s="3">
        <v>13.9103948892233</v>
      </c>
      <c r="J44" s="3">
        <v>16.038396747616101</v>
      </c>
      <c r="K44" s="3">
        <v>9.2734788074451693</v>
      </c>
      <c r="L44" s="3">
        <v>13.779377140145201</v>
      </c>
      <c r="M44" s="3">
        <v>15.1746188330855</v>
      </c>
      <c r="N44" s="3">
        <v>14.440579369001799</v>
      </c>
      <c r="O44" s="3">
        <v>19.3467426187323</v>
      </c>
      <c r="P44" s="3">
        <v>14.1898648855373</v>
      </c>
      <c r="Q44" s="3">
        <v>12.134022425157699</v>
      </c>
      <c r="R44" s="3">
        <v>16.429414794133301</v>
      </c>
      <c r="S44" s="3">
        <v>8.1609175572479202</v>
      </c>
      <c r="T44" s="3">
        <v>11.559445554629001</v>
      </c>
      <c r="U44" s="3">
        <v>20.8136656487948</v>
      </c>
      <c r="V44" s="3">
        <v>13.958540812898701</v>
      </c>
    </row>
    <row r="45" spans="1:22" x14ac:dyDescent="0.35">
      <c r="A45" s="2">
        <v>43147</v>
      </c>
      <c r="B45" s="3">
        <v>13.1143327651753</v>
      </c>
      <c r="C45" s="3">
        <v>14.231952067522</v>
      </c>
      <c r="D45" s="3">
        <v>15.5600733089094</v>
      </c>
      <c r="E45" s="3">
        <v>17.256360210078501</v>
      </c>
      <c r="F45" s="3">
        <v>11.6770508966233</v>
      </c>
      <c r="G45" s="3">
        <v>13.2815173767912</v>
      </c>
      <c r="H45" s="3">
        <v>16.6663377362033</v>
      </c>
      <c r="I45" s="3">
        <v>12.989389894606401</v>
      </c>
      <c r="J45" s="3">
        <v>15.7355495642054</v>
      </c>
      <c r="K45" s="3">
        <v>8.97438295611793</v>
      </c>
      <c r="L45" s="3">
        <v>13.5797682108525</v>
      </c>
      <c r="M45" s="3">
        <v>15.264436468158699</v>
      </c>
      <c r="N45" s="3">
        <v>14.3804543639045</v>
      </c>
      <c r="O45" s="3">
        <v>18.3976652615247</v>
      </c>
      <c r="P45" s="3">
        <v>13.4314898757804</v>
      </c>
      <c r="Q45" s="3">
        <v>11.6819665172141</v>
      </c>
      <c r="R45" s="3">
        <v>16.045326291196101</v>
      </c>
      <c r="S45" s="3">
        <v>8.0900156144235993</v>
      </c>
      <c r="T45" s="3">
        <v>11.2272114129561</v>
      </c>
      <c r="U45" s="3">
        <v>19.700167374615202</v>
      </c>
      <c r="V45" s="3">
        <v>13.715963094036301</v>
      </c>
    </row>
    <row r="46" spans="1:22" x14ac:dyDescent="0.35">
      <c r="A46" s="2">
        <v>43178</v>
      </c>
      <c r="B46" s="3">
        <v>13.271176548912999</v>
      </c>
      <c r="C46" s="3">
        <v>13.8084472270025</v>
      </c>
      <c r="D46" s="3">
        <v>14.6731953464013</v>
      </c>
      <c r="E46" s="3">
        <v>16.7361835054636</v>
      </c>
      <c r="F46" s="3">
        <v>10.9485055072604</v>
      </c>
      <c r="G46" s="3">
        <v>13.4039569363136</v>
      </c>
      <c r="H46" s="3">
        <v>16.365442383379001</v>
      </c>
      <c r="I46" s="3">
        <v>13.7573842984882</v>
      </c>
      <c r="J46" s="3">
        <v>15.2699590687981</v>
      </c>
      <c r="K46" s="3">
        <v>9.1000051272961304</v>
      </c>
      <c r="L46" s="3">
        <v>12.700789754471399</v>
      </c>
      <c r="M46" s="3">
        <v>15.8708501976525</v>
      </c>
      <c r="N46" s="3">
        <v>13.645712787053601</v>
      </c>
      <c r="O46" s="3">
        <v>17.711738187285398</v>
      </c>
      <c r="P46" s="3">
        <v>13.5419878293051</v>
      </c>
      <c r="Q46" s="3">
        <v>11.2944959864368</v>
      </c>
      <c r="R46" s="3">
        <v>15.5453716014788</v>
      </c>
      <c r="S46" s="3">
        <v>7.79979695792216</v>
      </c>
      <c r="T46" s="3">
        <v>10.956644367151499</v>
      </c>
      <c r="U46" s="3">
        <v>21.518020901823199</v>
      </c>
      <c r="V46" s="3">
        <v>14.3832622007134</v>
      </c>
    </row>
    <row r="47" spans="1:22" x14ac:dyDescent="0.35">
      <c r="A47" s="2">
        <v>43209</v>
      </c>
      <c r="B47" s="3">
        <v>12.432493036504599</v>
      </c>
      <c r="C47" s="3">
        <v>14.0236696538045</v>
      </c>
      <c r="D47" s="3">
        <v>14.960981887202299</v>
      </c>
      <c r="E47" s="3">
        <v>15.5155331885812</v>
      </c>
      <c r="F47" s="3">
        <v>11.5430550391818</v>
      </c>
      <c r="G47" s="3">
        <v>14.168000640695301</v>
      </c>
      <c r="H47" s="3">
        <v>16.6973288736203</v>
      </c>
      <c r="I47" s="3">
        <v>13.6874593122339</v>
      </c>
      <c r="J47" s="3">
        <v>15.710373848846301</v>
      </c>
      <c r="K47" s="3">
        <v>9.0741623480967704</v>
      </c>
      <c r="L47" s="3">
        <v>12.823543639008699</v>
      </c>
      <c r="M47" s="3">
        <v>15.4807413414814</v>
      </c>
      <c r="N47" s="3">
        <v>14.9635636944772</v>
      </c>
      <c r="O47" s="3">
        <v>18.410824273002302</v>
      </c>
      <c r="P47" s="3">
        <v>12.4893934029267</v>
      </c>
      <c r="Q47" s="3">
        <v>11.7592470224493</v>
      </c>
      <c r="R47" s="3">
        <v>15.3797196299298</v>
      </c>
      <c r="S47" s="3">
        <v>7.46022104634923</v>
      </c>
      <c r="T47" s="3">
        <v>11.3298194951398</v>
      </c>
      <c r="U47" s="3">
        <v>20.683844824672999</v>
      </c>
      <c r="V47" s="3">
        <v>15.278565778646399</v>
      </c>
    </row>
    <row r="48" spans="1:22" x14ac:dyDescent="0.35">
      <c r="A48" s="2">
        <v>43238</v>
      </c>
      <c r="B48" s="3">
        <v>11.9740349862006</v>
      </c>
      <c r="C48" s="3">
        <v>13.179023948407</v>
      </c>
      <c r="D48" s="3">
        <v>13.095954434011301</v>
      </c>
      <c r="E48" s="3">
        <v>15.9244370465379</v>
      </c>
      <c r="F48" s="3">
        <v>11.0864390485645</v>
      </c>
      <c r="G48" s="3">
        <v>13.4952712774455</v>
      </c>
      <c r="H48" s="3">
        <v>16.305077711695699</v>
      </c>
      <c r="I48" s="3">
        <v>13.433982222220401</v>
      </c>
      <c r="J48" s="3">
        <v>14.4524531575218</v>
      </c>
      <c r="K48" s="3">
        <v>8.7787908447691496</v>
      </c>
      <c r="L48" s="3">
        <v>12.0190293524675</v>
      </c>
      <c r="M48" s="3">
        <v>14.6569392329188</v>
      </c>
      <c r="N48" s="3">
        <v>13.6726870060997</v>
      </c>
      <c r="O48" s="3">
        <v>17.9041888385877</v>
      </c>
      <c r="P48" s="3">
        <v>12.6935125900652</v>
      </c>
      <c r="Q48" s="3">
        <v>11.2761461153949</v>
      </c>
      <c r="R48" s="3">
        <v>15.351356326588</v>
      </c>
      <c r="S48" s="3">
        <v>6.7291145030928998</v>
      </c>
      <c r="T48" s="3">
        <v>10.554333989287599</v>
      </c>
      <c r="U48" s="3">
        <v>20.6333389676332</v>
      </c>
      <c r="V48" s="3">
        <v>14.804680296983401</v>
      </c>
    </row>
    <row r="49" spans="1:22" x14ac:dyDescent="0.35">
      <c r="A49" s="2">
        <v>43270</v>
      </c>
      <c r="B49" s="3">
        <v>11.2736509768178</v>
      </c>
      <c r="C49" s="3">
        <v>11.9836346172742</v>
      </c>
      <c r="D49" s="3">
        <v>13.3813882398376</v>
      </c>
      <c r="E49" s="3">
        <v>15.290025940919501</v>
      </c>
      <c r="F49" s="3">
        <v>10.324068938640799</v>
      </c>
      <c r="G49" s="3">
        <v>13.6988009901015</v>
      </c>
      <c r="H49" s="3">
        <v>15.6755268848373</v>
      </c>
      <c r="I49" s="3">
        <v>13.378576838468099</v>
      </c>
      <c r="J49" s="3">
        <v>14.7104028334582</v>
      </c>
      <c r="K49" s="3">
        <v>8.5161781446552496</v>
      </c>
      <c r="L49" s="3">
        <v>10.4748868773612</v>
      </c>
      <c r="M49" s="3">
        <v>13.8253171305825</v>
      </c>
      <c r="N49" s="3">
        <v>14.956583699594001</v>
      </c>
      <c r="O49" s="3">
        <v>18.531021079104502</v>
      </c>
      <c r="P49" s="3">
        <v>12.2649334412078</v>
      </c>
      <c r="Q49" s="3">
        <v>11.3674441619742</v>
      </c>
      <c r="R49" s="3">
        <v>14.2342874760862</v>
      </c>
      <c r="S49" s="3">
        <v>6.2487381998453797</v>
      </c>
      <c r="T49" s="3">
        <v>10.7373222523624</v>
      </c>
      <c r="U49" s="3">
        <v>17.580363454864401</v>
      </c>
      <c r="V49" s="3">
        <v>15.033401796624499</v>
      </c>
    </row>
    <row r="50" spans="1:22" x14ac:dyDescent="0.35">
      <c r="A50" s="2">
        <v>43300</v>
      </c>
      <c r="B50" s="3">
        <v>10.4363965581601</v>
      </c>
      <c r="C50" s="3">
        <v>11.9106341816039</v>
      </c>
      <c r="D50" s="3">
        <v>12.802737796660301</v>
      </c>
      <c r="E50" s="3">
        <v>15.0594815402204</v>
      </c>
      <c r="F50" s="3">
        <v>10.420004673948201</v>
      </c>
      <c r="G50" s="3">
        <v>13.1808253910558</v>
      </c>
      <c r="H50" s="3">
        <v>16.056472381011599</v>
      </c>
      <c r="I50" s="3">
        <v>13.2541491331472</v>
      </c>
      <c r="J50" s="3">
        <v>15.4893518217307</v>
      </c>
      <c r="K50" s="3">
        <v>8.3145319351383602</v>
      </c>
      <c r="L50" s="3">
        <v>10.922359135691799</v>
      </c>
      <c r="M50" s="3">
        <v>13.7394845990689</v>
      </c>
      <c r="N50" s="3">
        <v>14.692523362027201</v>
      </c>
      <c r="O50" s="3">
        <v>18.5717722066649</v>
      </c>
      <c r="P50" s="3">
        <v>11.808278067229599</v>
      </c>
      <c r="Q50" s="3">
        <v>11.5199828701837</v>
      </c>
      <c r="R50" s="3">
        <v>14.2650153369372</v>
      </c>
      <c r="S50" s="3">
        <v>6.0107064455970001</v>
      </c>
      <c r="T50" s="3">
        <v>11.280504188436799</v>
      </c>
      <c r="U50" s="3">
        <v>17.270759178523701</v>
      </c>
      <c r="V50" s="3">
        <v>15.177234314440099</v>
      </c>
    </row>
    <row r="51" spans="1:22" x14ac:dyDescent="0.35">
      <c r="A51" s="2">
        <v>43329</v>
      </c>
      <c r="B51" s="3">
        <v>9.7144969607334293</v>
      </c>
      <c r="C51" s="3">
        <v>11.6411822874633</v>
      </c>
      <c r="D51" s="3">
        <v>13.132455957962501</v>
      </c>
      <c r="E51" s="3">
        <v>15.328140825278901</v>
      </c>
      <c r="F51" s="3">
        <v>10.732316639894201</v>
      </c>
      <c r="G51" s="3">
        <v>13.4283440399409</v>
      </c>
      <c r="H51" s="3">
        <v>16.3186510963851</v>
      </c>
      <c r="I51" s="3">
        <v>13.148077261621101</v>
      </c>
      <c r="J51" s="3">
        <v>14.9109619486944</v>
      </c>
      <c r="K51" s="3">
        <v>8.0866063778695594</v>
      </c>
      <c r="L51" s="3">
        <v>10.736088553665899</v>
      </c>
      <c r="M51" s="3">
        <v>13.11048765822</v>
      </c>
      <c r="N51" s="3">
        <v>14.2531734448244</v>
      </c>
      <c r="O51" s="3">
        <v>19.688277752854901</v>
      </c>
      <c r="P51" s="3">
        <v>11.1052413725712</v>
      </c>
      <c r="Q51" s="3">
        <v>11.9207790361592</v>
      </c>
      <c r="R51" s="3">
        <v>14.535384362520601</v>
      </c>
      <c r="S51" s="3">
        <v>5.7146868654186704</v>
      </c>
      <c r="T51" s="3">
        <v>11.1049123000374</v>
      </c>
      <c r="U51" s="3">
        <v>17.761617469111599</v>
      </c>
      <c r="V51" s="3">
        <v>13.8447906864698</v>
      </c>
    </row>
    <row r="52" spans="1:22" x14ac:dyDescent="0.35">
      <c r="A52" s="2">
        <v>43362</v>
      </c>
      <c r="B52" s="3">
        <v>10.2110225838508</v>
      </c>
      <c r="C52" s="3">
        <v>12.058254295346901</v>
      </c>
      <c r="D52" s="3">
        <v>13.1654005310992</v>
      </c>
      <c r="E52" s="3">
        <v>13.9323009279413</v>
      </c>
      <c r="F52" s="3">
        <v>10.684902511751201</v>
      </c>
      <c r="G52" s="3">
        <v>12.8187128732693</v>
      </c>
      <c r="H52" s="3">
        <v>16.456193994189402</v>
      </c>
      <c r="I52" s="3">
        <v>13.0837488595272</v>
      </c>
      <c r="J52" s="3">
        <v>15.1707422780143</v>
      </c>
      <c r="K52" s="3">
        <v>8.2867076044880896</v>
      </c>
      <c r="L52" s="3">
        <v>10.603217976633101</v>
      </c>
      <c r="M52" s="3">
        <v>13.061619845106801</v>
      </c>
      <c r="N52" s="3">
        <v>14.5719762620603</v>
      </c>
      <c r="O52" s="3">
        <v>19.1516675301791</v>
      </c>
      <c r="P52" s="3">
        <v>11.0260499542593</v>
      </c>
      <c r="Q52" s="3">
        <v>12.3251152423948</v>
      </c>
      <c r="R52" s="3">
        <v>15.0225599015108</v>
      </c>
      <c r="S52" s="3">
        <v>6.0201862630907703</v>
      </c>
      <c r="T52" s="3">
        <v>11.8802518356135</v>
      </c>
      <c r="U52" s="3">
        <v>17.731978673827999</v>
      </c>
      <c r="V52" s="3">
        <v>13.607804012636301</v>
      </c>
    </row>
    <row r="53" spans="1:22" x14ac:dyDescent="0.35">
      <c r="A53" s="2">
        <v>43392</v>
      </c>
      <c r="B53" s="3">
        <v>9.6240315047728906</v>
      </c>
      <c r="C53" s="3">
        <v>15.038492496075801</v>
      </c>
      <c r="D53" s="3">
        <v>13.0704101504636</v>
      </c>
      <c r="E53" s="3">
        <v>13.900826863210099</v>
      </c>
      <c r="F53" s="3">
        <v>10.435660464120501</v>
      </c>
      <c r="G53" s="3">
        <v>12.8241317822276</v>
      </c>
      <c r="H53" s="3">
        <v>15.7352189446193</v>
      </c>
      <c r="I53" s="3">
        <v>12.0905250920743</v>
      </c>
      <c r="J53" s="3">
        <v>14.295606082177599</v>
      </c>
      <c r="K53" s="3">
        <v>7.8207326876082899</v>
      </c>
      <c r="L53" s="3">
        <v>11.1095247444071</v>
      </c>
      <c r="M53" s="3">
        <v>11.982370096321199</v>
      </c>
      <c r="N53" s="3">
        <v>12.2848003032974</v>
      </c>
      <c r="O53" s="3">
        <v>17.071879527172001</v>
      </c>
      <c r="P53" s="3">
        <v>10.062379919208301</v>
      </c>
      <c r="Q53" s="3">
        <v>12.686723462221099</v>
      </c>
      <c r="R53" s="3">
        <v>14.264704536859201</v>
      </c>
      <c r="S53" s="3">
        <v>6.0239605415064101</v>
      </c>
      <c r="T53" s="3">
        <v>11.520316937350399</v>
      </c>
      <c r="U53" s="3">
        <v>15.1592102948903</v>
      </c>
      <c r="V53" s="3">
        <v>13.695309899091299</v>
      </c>
    </row>
    <row r="54" spans="1:22" x14ac:dyDescent="0.35">
      <c r="A54" s="2">
        <v>43423</v>
      </c>
      <c r="B54" s="3">
        <v>10.106598554095299</v>
      </c>
      <c r="C54" s="3">
        <v>15.1160572243821</v>
      </c>
      <c r="D54" s="3">
        <v>13.7499414351167</v>
      </c>
      <c r="E54" s="3">
        <v>13.9664673898719</v>
      </c>
      <c r="F54" s="3">
        <v>10.355666877609099</v>
      </c>
      <c r="G54" s="3">
        <v>13.359028503378299</v>
      </c>
      <c r="H54" s="3">
        <v>15.8102891519137</v>
      </c>
      <c r="I54" s="3">
        <v>12.3910989891637</v>
      </c>
      <c r="J54" s="3">
        <v>12.6419052917933</v>
      </c>
      <c r="K54" s="3">
        <v>7.9578407952880896</v>
      </c>
      <c r="L54" s="3">
        <v>11.5348640907846</v>
      </c>
      <c r="M54" s="3">
        <v>12.5044565840128</v>
      </c>
      <c r="N54" s="3">
        <v>12.042876232606799</v>
      </c>
      <c r="O54" s="3">
        <v>18.151401080957701</v>
      </c>
      <c r="P54" s="3">
        <v>10.5151670027105</v>
      </c>
      <c r="Q54" s="3">
        <v>13.036642893488899</v>
      </c>
      <c r="R54" s="3">
        <v>13.9589809111877</v>
      </c>
      <c r="S54" s="3">
        <v>5.7868411847327303</v>
      </c>
      <c r="T54" s="3">
        <v>11.933521852277501</v>
      </c>
      <c r="U54" s="3">
        <v>15.0905586190379</v>
      </c>
      <c r="V54" s="3">
        <v>13.3144846879665</v>
      </c>
    </row>
    <row r="55" spans="1:22" x14ac:dyDescent="0.35">
      <c r="A55" s="2">
        <v>43453</v>
      </c>
      <c r="B55" s="3">
        <v>9.6894711668424005</v>
      </c>
      <c r="C55" s="3">
        <v>14.547736615277101</v>
      </c>
      <c r="D55" s="3">
        <v>14.144685755694001</v>
      </c>
      <c r="E55" s="3">
        <v>15.040790691879399</v>
      </c>
      <c r="F55" s="3">
        <v>10.9203059846595</v>
      </c>
      <c r="G55" s="3">
        <v>13.013588373907799</v>
      </c>
      <c r="H55" s="3">
        <v>15.6773424417035</v>
      </c>
      <c r="I55" s="3">
        <v>12.4717837628396</v>
      </c>
      <c r="J55" s="3">
        <v>12.433997850362299</v>
      </c>
      <c r="K55" s="3">
        <v>8.3708032011973099</v>
      </c>
      <c r="L55" s="3">
        <v>11.251748996475101</v>
      </c>
      <c r="M55" s="3">
        <v>12.433774459536099</v>
      </c>
      <c r="N55" s="3">
        <v>11.7480809117581</v>
      </c>
      <c r="O55" s="3">
        <v>18.309455136819899</v>
      </c>
      <c r="P55" s="3">
        <v>10.194438595025501</v>
      </c>
      <c r="Q55" s="3">
        <v>13.131784120571</v>
      </c>
      <c r="R55" s="3">
        <v>13.7966771788958</v>
      </c>
      <c r="S55" s="3">
        <v>6.0242831727699997</v>
      </c>
      <c r="T55" s="3">
        <v>11.1690134664616</v>
      </c>
      <c r="U55" s="3">
        <v>15.2371098739138</v>
      </c>
      <c r="V55" s="3">
        <v>14.4117752364601</v>
      </c>
    </row>
    <row r="56" spans="1:22" x14ac:dyDescent="0.35">
      <c r="A56" s="2">
        <v>43483</v>
      </c>
      <c r="B56" s="3">
        <v>9.9543641660457904</v>
      </c>
      <c r="C56" s="3">
        <v>15.772756421814</v>
      </c>
      <c r="D56" s="3">
        <v>14.803838550902499</v>
      </c>
      <c r="E56" s="3">
        <v>15.858385387757799</v>
      </c>
      <c r="F56" s="3">
        <v>11.065217634150899</v>
      </c>
      <c r="G56" s="3">
        <v>14.6503471410212</v>
      </c>
      <c r="H56" s="3">
        <v>16.233846216597801</v>
      </c>
      <c r="I56" s="3">
        <v>13.204054552689101</v>
      </c>
      <c r="J56" s="3">
        <v>13.2860260255047</v>
      </c>
      <c r="K56" s="3">
        <v>9.1490788010210995</v>
      </c>
      <c r="L56" s="3">
        <v>13.0276428193818</v>
      </c>
      <c r="M56" s="3">
        <v>13.0676196012146</v>
      </c>
      <c r="N56" s="3">
        <v>11.0947906387435</v>
      </c>
      <c r="O56" s="3">
        <v>17.9892849709342</v>
      </c>
      <c r="P56" s="3">
        <v>10.8077454420081</v>
      </c>
      <c r="Q56" s="3">
        <v>13.542839290755399</v>
      </c>
      <c r="R56" s="3">
        <v>13.923708817546601</v>
      </c>
      <c r="S56" s="3">
        <v>6.8422878964991902</v>
      </c>
      <c r="T56" s="3">
        <v>10.8262752635315</v>
      </c>
      <c r="U56" s="3">
        <v>14.9438139911432</v>
      </c>
      <c r="V56" s="3">
        <v>15.6531124061922</v>
      </c>
    </row>
    <row r="57" spans="1:22" x14ac:dyDescent="0.35">
      <c r="A57" s="2">
        <v>43515</v>
      </c>
      <c r="B57" s="3">
        <v>10.748995011256801</v>
      </c>
      <c r="C57" s="3">
        <v>15.771514030321899</v>
      </c>
      <c r="D57" s="3">
        <v>14.4734090714049</v>
      </c>
      <c r="E57" s="3">
        <v>15.1623427240523</v>
      </c>
      <c r="F57" s="3">
        <v>10.616558775612001</v>
      </c>
      <c r="G57" s="3">
        <v>15.9853105620102</v>
      </c>
      <c r="H57" s="3">
        <v>16.4203690026897</v>
      </c>
      <c r="I57" s="3">
        <v>13.9169991981914</v>
      </c>
      <c r="J57" s="3">
        <v>12.930310312059699</v>
      </c>
      <c r="K57" s="3">
        <v>10.2608963123745</v>
      </c>
      <c r="L57" s="3">
        <v>12.7914982130289</v>
      </c>
      <c r="M57" s="3">
        <v>12.936875872572299</v>
      </c>
      <c r="N57" s="3">
        <v>11.9705116448278</v>
      </c>
      <c r="O57" s="3">
        <v>17.705977102580199</v>
      </c>
      <c r="P57" s="3">
        <v>11.221545153653</v>
      </c>
      <c r="Q57" s="3">
        <v>12.3779969837185</v>
      </c>
      <c r="R57" s="3">
        <v>14.646452914220699</v>
      </c>
      <c r="S57" s="3">
        <v>6.96729263896506</v>
      </c>
      <c r="T57" s="3">
        <v>10.8979325981286</v>
      </c>
      <c r="U57" s="3">
        <v>16.198281537835602</v>
      </c>
      <c r="V57" s="3">
        <v>16.056411786038499</v>
      </c>
    </row>
    <row r="58" spans="1:22" x14ac:dyDescent="0.35">
      <c r="A58" s="2">
        <v>43543</v>
      </c>
      <c r="B58" s="3">
        <v>11.6656303747151</v>
      </c>
      <c r="C58" s="3">
        <v>15.377769870527599</v>
      </c>
      <c r="D58" s="3">
        <v>14.6350009736909</v>
      </c>
      <c r="E58" s="3">
        <v>15.1049439138844</v>
      </c>
      <c r="F58" s="3">
        <v>11.247249225090499</v>
      </c>
      <c r="G58" s="3">
        <v>15.7313455778938</v>
      </c>
      <c r="H58" s="3">
        <v>16.4790556475707</v>
      </c>
      <c r="I58" s="3">
        <v>14.594275908830999</v>
      </c>
      <c r="J58" s="3">
        <v>12.789804480421299</v>
      </c>
      <c r="K58" s="3">
        <v>10.5765086552877</v>
      </c>
      <c r="L58" s="3">
        <v>12.6101926514431</v>
      </c>
      <c r="M58" s="3">
        <v>13.027945864075599</v>
      </c>
      <c r="N58" s="3">
        <v>12.9305698376342</v>
      </c>
      <c r="O58" s="3">
        <v>19.0477772406411</v>
      </c>
      <c r="P58" s="3">
        <v>11.892001197191901</v>
      </c>
      <c r="Q58" s="3">
        <v>12.359964365275699</v>
      </c>
      <c r="R58" s="3">
        <v>14.7834387340653</v>
      </c>
      <c r="S58" s="3">
        <v>7.3100477855089396</v>
      </c>
      <c r="T58" s="3">
        <v>11.935554632671501</v>
      </c>
      <c r="U58" s="3">
        <v>17.610289618612502</v>
      </c>
      <c r="V58" s="3">
        <v>16.327358149424601</v>
      </c>
    </row>
    <row r="59" spans="1:22" x14ac:dyDescent="0.35">
      <c r="A59" s="2">
        <v>43573</v>
      </c>
      <c r="B59" s="3">
        <v>12.2838449241526</v>
      </c>
      <c r="C59" s="3">
        <v>14.9971785616152</v>
      </c>
      <c r="D59" s="3">
        <v>14.3603079477299</v>
      </c>
      <c r="E59" s="3">
        <v>15.1253483193641</v>
      </c>
      <c r="F59" s="3">
        <v>11.2715579161568</v>
      </c>
      <c r="G59" s="3">
        <v>14.8471684299111</v>
      </c>
      <c r="H59" s="3">
        <v>15.886128288178901</v>
      </c>
      <c r="I59" s="3">
        <v>15.2193563899875</v>
      </c>
      <c r="J59" s="3">
        <v>13.7279920295697</v>
      </c>
      <c r="K59" s="3">
        <v>11.172799381472201</v>
      </c>
      <c r="L59" s="3">
        <v>11.455917539348899</v>
      </c>
      <c r="M59" s="3">
        <v>13.803545833932301</v>
      </c>
      <c r="N59" s="3">
        <v>13.925104375976399</v>
      </c>
      <c r="O59" s="3">
        <v>18.945474135822302</v>
      </c>
      <c r="P59" s="3">
        <v>12.241287622405901</v>
      </c>
      <c r="Q59" s="3">
        <v>12.996264474402899</v>
      </c>
      <c r="R59" s="3">
        <v>15.0980193772491</v>
      </c>
      <c r="S59" s="3">
        <v>6.3108014727481798</v>
      </c>
      <c r="T59" s="3">
        <v>12.2003979170539</v>
      </c>
      <c r="U59" s="3">
        <v>17.773878102720701</v>
      </c>
      <c r="V59" s="3">
        <v>17.360288191718698</v>
      </c>
    </row>
    <row r="60" spans="1:22" x14ac:dyDescent="0.35">
      <c r="A60" s="2">
        <v>43602</v>
      </c>
      <c r="B60" s="3">
        <v>10.977877025763799</v>
      </c>
      <c r="C60" s="3">
        <v>14.0430244522927</v>
      </c>
      <c r="D60" s="3">
        <v>12.454380707232</v>
      </c>
      <c r="E60" s="3">
        <v>14.790747795765901</v>
      </c>
      <c r="F60" s="3">
        <v>10.2025090768732</v>
      </c>
      <c r="G60" s="3">
        <v>13.0535405484165</v>
      </c>
      <c r="H60" s="3">
        <v>15.653263020486399</v>
      </c>
      <c r="I60" s="3">
        <v>14.320059198635001</v>
      </c>
      <c r="J60" s="3">
        <v>13.055113439203501</v>
      </c>
      <c r="K60" s="3">
        <v>10.542423573008101</v>
      </c>
      <c r="L60" s="3">
        <v>11.132948385199899</v>
      </c>
      <c r="M60" s="3">
        <v>13.013643691809699</v>
      </c>
      <c r="N60" s="3">
        <v>12.6883136870056</v>
      </c>
      <c r="O60" s="3">
        <v>18.402363815603099</v>
      </c>
      <c r="P60" s="3">
        <v>11.187370081858701</v>
      </c>
      <c r="Q60" s="3">
        <v>12.170677221670999</v>
      </c>
      <c r="R60" s="3">
        <v>14.563786393133199</v>
      </c>
      <c r="S60" s="3">
        <v>5.6004920778188696</v>
      </c>
      <c r="T60" s="3">
        <v>10.7873777287318</v>
      </c>
      <c r="U60" s="3">
        <v>17.498752645336999</v>
      </c>
      <c r="V60" s="3">
        <v>16.139202796856999</v>
      </c>
    </row>
    <row r="61" spans="1:22" x14ac:dyDescent="0.35">
      <c r="A61" s="2">
        <v>43635</v>
      </c>
      <c r="B61" s="3">
        <v>11.5193982256928</v>
      </c>
      <c r="C61" s="3">
        <v>14.644249005037199</v>
      </c>
      <c r="D61" s="3">
        <v>14.0713842493117</v>
      </c>
      <c r="E61" s="3">
        <v>15.475080678578299</v>
      </c>
      <c r="F61" s="3">
        <v>10.7035983086936</v>
      </c>
      <c r="G61" s="3">
        <v>13.2752670798703</v>
      </c>
      <c r="H61" s="3">
        <v>16.678606251977499</v>
      </c>
      <c r="I61" s="3">
        <v>15.0115298070292</v>
      </c>
      <c r="J61" s="3">
        <v>12.9932251873136</v>
      </c>
      <c r="K61" s="3">
        <v>11.0777903033991</v>
      </c>
      <c r="L61" s="3">
        <v>12.464823161801499</v>
      </c>
      <c r="M61" s="3">
        <v>13.280921328667199</v>
      </c>
      <c r="N61" s="3">
        <v>13.635913728397901</v>
      </c>
      <c r="O61" s="3">
        <v>18.7103283191821</v>
      </c>
      <c r="P61" s="3">
        <v>11.374256228481199</v>
      </c>
      <c r="Q61" s="3">
        <v>13.129342821709299</v>
      </c>
      <c r="R61" s="3">
        <v>15.5902290003296</v>
      </c>
      <c r="S61" s="3">
        <v>6.1626595587899402</v>
      </c>
      <c r="T61" s="3">
        <v>11.7384050953921</v>
      </c>
      <c r="U61" s="3">
        <v>16.526862225292899</v>
      </c>
      <c r="V61" s="3">
        <v>16.843221876294699</v>
      </c>
    </row>
    <row r="62" spans="1:22" x14ac:dyDescent="0.35">
      <c r="A62" s="2">
        <v>43665</v>
      </c>
      <c r="B62" s="3">
        <v>11.5483177319225</v>
      </c>
      <c r="C62" s="3">
        <v>15.1200185385315</v>
      </c>
      <c r="D62" s="3">
        <v>15.045158975545499</v>
      </c>
      <c r="E62" s="3">
        <v>15.779208932630199</v>
      </c>
      <c r="F62" s="3">
        <v>10.799327905993501</v>
      </c>
      <c r="G62" s="3">
        <v>14.9331511067327</v>
      </c>
      <c r="H62" s="3">
        <v>16.558457923611002</v>
      </c>
      <c r="I62" s="3">
        <v>15.0830477571453</v>
      </c>
      <c r="J62" s="3">
        <v>12.6449013192473</v>
      </c>
      <c r="K62" s="3">
        <v>11.294084210588601</v>
      </c>
      <c r="L62" s="3">
        <v>12.6584416351028</v>
      </c>
      <c r="M62" s="3">
        <v>13.078395767304301</v>
      </c>
      <c r="N62" s="3">
        <v>14.024885834619401</v>
      </c>
      <c r="O62" s="3">
        <v>18.323929132236302</v>
      </c>
      <c r="P62" s="3">
        <v>11.508146441574301</v>
      </c>
      <c r="Q62" s="3">
        <v>13.314623298951901</v>
      </c>
      <c r="R62" s="3">
        <v>15.8538024586994</v>
      </c>
      <c r="S62" s="3">
        <v>6.5450985529548102</v>
      </c>
      <c r="T62" s="3">
        <v>12.004166778937</v>
      </c>
      <c r="U62" s="3">
        <v>15.863628176490799</v>
      </c>
      <c r="V62" s="3">
        <v>17.136300439760799</v>
      </c>
    </row>
    <row r="63" spans="1:22" x14ac:dyDescent="0.35">
      <c r="A63" s="2">
        <v>43696</v>
      </c>
      <c r="B63" s="3">
        <v>11.503249457767501</v>
      </c>
      <c r="C63" s="3">
        <v>13.667778183057999</v>
      </c>
      <c r="D63" s="3">
        <v>14.657151619389699</v>
      </c>
      <c r="E63" s="3">
        <v>14.7144817014089</v>
      </c>
      <c r="F63" s="3">
        <v>9.6887401274132898</v>
      </c>
      <c r="G63" s="3">
        <v>14.280222334426099</v>
      </c>
      <c r="H63" s="3">
        <v>15.9621060098603</v>
      </c>
      <c r="I63" s="3">
        <v>14.5192586904246</v>
      </c>
      <c r="J63" s="3">
        <v>12.214193519388999</v>
      </c>
      <c r="K63" s="3">
        <v>10.5808368153478</v>
      </c>
      <c r="L63" s="3">
        <v>12.355205011914199</v>
      </c>
      <c r="M63" s="3">
        <v>11.8089651837704</v>
      </c>
      <c r="N63" s="3">
        <v>13.4604642079239</v>
      </c>
      <c r="O63" s="3">
        <v>18.150900206674599</v>
      </c>
      <c r="P63" s="3">
        <v>11.084998329989</v>
      </c>
      <c r="Q63" s="3">
        <v>12.4356127542435</v>
      </c>
      <c r="R63" s="3">
        <v>15.1941302102632</v>
      </c>
      <c r="S63" s="3">
        <v>6.1611856966033898</v>
      </c>
      <c r="T63" s="3">
        <v>12.118092894148701</v>
      </c>
      <c r="U63" s="3">
        <v>14.247532687783</v>
      </c>
      <c r="V63" s="3">
        <v>17.020865669313</v>
      </c>
    </row>
    <row r="64" spans="1:22" x14ac:dyDescent="0.35">
      <c r="A64" s="2">
        <v>43727</v>
      </c>
      <c r="B64" s="3">
        <v>11.9127465169258</v>
      </c>
      <c r="C64" s="3">
        <v>15.267003703240899</v>
      </c>
      <c r="D64" s="3">
        <v>14.586630180474501</v>
      </c>
      <c r="E64" s="3">
        <v>13.9348762437775</v>
      </c>
      <c r="F64" s="3">
        <v>9.9880304935554491</v>
      </c>
      <c r="G64" s="3">
        <v>14.033796815283599</v>
      </c>
      <c r="H64" s="3">
        <v>16.070153544578499</v>
      </c>
      <c r="I64" s="3">
        <v>15.2128008593853</v>
      </c>
      <c r="J64" s="3">
        <v>13.4408705195062</v>
      </c>
      <c r="K64" s="3">
        <v>11.1462421735701</v>
      </c>
      <c r="L64" s="3">
        <v>12.9030255705228</v>
      </c>
      <c r="M64" s="3">
        <v>11.940369210879</v>
      </c>
      <c r="N64" s="3">
        <v>13.9193818241411</v>
      </c>
      <c r="O64" s="3">
        <v>17.562668003904399</v>
      </c>
      <c r="P64" s="3">
        <v>11.4276581339054</v>
      </c>
      <c r="Q64" s="3">
        <v>13.4726069667801</v>
      </c>
      <c r="R64" s="3">
        <v>15.2752648475294</v>
      </c>
      <c r="S64" s="3">
        <v>6.3132753872721104</v>
      </c>
      <c r="T64" s="3">
        <v>13.045001240269499</v>
      </c>
      <c r="U64" s="3">
        <v>14.2873094515046</v>
      </c>
      <c r="V64" s="3">
        <v>16.8583297269745</v>
      </c>
    </row>
    <row r="65" spans="1:22" x14ac:dyDescent="0.35">
      <c r="A65" s="2">
        <v>43756</v>
      </c>
      <c r="B65" s="3">
        <v>11.6026054747239</v>
      </c>
      <c r="C65" s="3">
        <v>15.649384841697399</v>
      </c>
      <c r="D65" s="3">
        <v>14.517157227606599</v>
      </c>
      <c r="E65" s="3">
        <v>13.856895630520301</v>
      </c>
      <c r="F65" s="3">
        <v>9.9011210827287393</v>
      </c>
      <c r="G65" s="3">
        <v>13.8364766952678</v>
      </c>
      <c r="H65" s="3">
        <v>15.7819143971986</v>
      </c>
      <c r="I65" s="3">
        <v>15.2943473369108</v>
      </c>
      <c r="J65" s="3">
        <v>13.641162781552399</v>
      </c>
      <c r="K65" s="3">
        <v>10.9410045134117</v>
      </c>
      <c r="L65" s="3">
        <v>13.0706390917035</v>
      </c>
      <c r="M65" s="3">
        <v>11.7357250488056</v>
      </c>
      <c r="N65" s="3">
        <v>11.9214824866763</v>
      </c>
      <c r="O65" s="3">
        <v>18.616659836343899</v>
      </c>
      <c r="P65" s="3">
        <v>11.159638852346999</v>
      </c>
      <c r="Q65" s="3">
        <v>13.642523036102199</v>
      </c>
      <c r="R65" s="3">
        <v>15.4786461826937</v>
      </c>
      <c r="S65" s="3">
        <v>6.0657331980420599</v>
      </c>
      <c r="T65" s="3">
        <v>13.214365475431499</v>
      </c>
      <c r="U65" s="3">
        <v>14.259833878833501</v>
      </c>
      <c r="V65" s="3">
        <v>16.1450996251791</v>
      </c>
    </row>
    <row r="66" spans="1:22" x14ac:dyDescent="0.35">
      <c r="A66" s="2">
        <v>43788</v>
      </c>
      <c r="B66" s="3">
        <v>11.6562242100619</v>
      </c>
      <c r="C66" s="3">
        <v>14.177227450116799</v>
      </c>
      <c r="D66" s="3">
        <v>14.7983974151708</v>
      </c>
      <c r="E66" s="3">
        <v>13.784267676479701</v>
      </c>
      <c r="F66" s="3">
        <v>10.1754703721969</v>
      </c>
      <c r="G66" s="3">
        <v>13.7953036962335</v>
      </c>
      <c r="H66" s="3">
        <v>16.115312546971399</v>
      </c>
      <c r="I66" s="3">
        <v>15.8353242588213</v>
      </c>
      <c r="J66" s="3">
        <v>13.730301974801799</v>
      </c>
      <c r="K66" s="3">
        <v>11.516753646494999</v>
      </c>
      <c r="L66" s="3">
        <v>13.306930749203399</v>
      </c>
      <c r="M66" s="3">
        <v>12.0373976547036</v>
      </c>
      <c r="N66" s="3">
        <v>11.7863281415876</v>
      </c>
      <c r="O66" s="3">
        <v>19.253194439829102</v>
      </c>
      <c r="P66" s="3">
        <v>11.365688611331301</v>
      </c>
      <c r="Q66" s="3">
        <v>13.279382638218401</v>
      </c>
      <c r="R66" s="3">
        <v>15.7396695229148</v>
      </c>
      <c r="S66" s="3">
        <v>6.4548318016129302</v>
      </c>
      <c r="T66" s="3">
        <v>13.0222317259012</v>
      </c>
      <c r="U66" s="3">
        <v>14.9518426307519</v>
      </c>
      <c r="V66" s="3">
        <v>16.839431636792298</v>
      </c>
    </row>
    <row r="67" spans="1:22" x14ac:dyDescent="0.35">
      <c r="A67" s="2">
        <v>43818</v>
      </c>
      <c r="B67" s="3">
        <v>12.550016713781201</v>
      </c>
      <c r="C67" s="3">
        <v>13.5387713656164</v>
      </c>
      <c r="D67" s="3">
        <v>15.0015899331769</v>
      </c>
      <c r="E67" s="3">
        <v>13.8150275313143</v>
      </c>
      <c r="F67" s="3">
        <v>10.161877919303899</v>
      </c>
      <c r="G67" s="3">
        <v>14.910473531591601</v>
      </c>
      <c r="H67" s="3">
        <v>16.149584508768498</v>
      </c>
      <c r="I67" s="3">
        <v>15.8937832944272</v>
      </c>
      <c r="J67" s="3">
        <v>14.177076204037499</v>
      </c>
      <c r="K67" s="3">
        <v>11.496463008954301</v>
      </c>
      <c r="L67" s="3">
        <v>14.364332191652901</v>
      </c>
      <c r="M67" s="3">
        <v>12.4264426296771</v>
      </c>
      <c r="N67" s="3">
        <v>11.3246120892527</v>
      </c>
      <c r="O67" s="3">
        <v>19.314895470326299</v>
      </c>
      <c r="P67" s="3">
        <v>12.203160386667999</v>
      </c>
      <c r="Q67" s="3">
        <v>13.714974612384999</v>
      </c>
      <c r="R67" s="3">
        <v>15.308033969218901</v>
      </c>
      <c r="S67" s="3">
        <v>6.34830645309078</v>
      </c>
      <c r="T67" s="3">
        <v>13.740378724340299</v>
      </c>
      <c r="U67" s="3">
        <v>14.1852980931827</v>
      </c>
      <c r="V67" s="3">
        <v>16.991536848814501</v>
      </c>
    </row>
    <row r="68" spans="1:22" x14ac:dyDescent="0.35">
      <c r="A68" s="2">
        <v>43847</v>
      </c>
      <c r="B68" s="3">
        <v>12.90762020791</v>
      </c>
      <c r="C68" s="3">
        <v>13.985696638624001</v>
      </c>
      <c r="D68" s="3">
        <v>15.679994317801</v>
      </c>
      <c r="E68" s="3">
        <v>13.728971655379601</v>
      </c>
      <c r="F68" s="3">
        <v>10.5717929834379</v>
      </c>
      <c r="G68" s="3">
        <v>14.7198817056571</v>
      </c>
      <c r="H68" s="3">
        <v>16.016311075374901</v>
      </c>
      <c r="I68" s="3">
        <v>15.5845474483354</v>
      </c>
      <c r="J68" s="3">
        <v>14.584455887876</v>
      </c>
      <c r="K68" s="3">
        <v>11.666501834998501</v>
      </c>
      <c r="L68" s="3">
        <v>14.6211790467143</v>
      </c>
      <c r="M68" s="3">
        <v>12.3880994494736</v>
      </c>
      <c r="N68" s="3">
        <v>11.2966647254422</v>
      </c>
      <c r="O68" s="3">
        <v>19.434313093442999</v>
      </c>
      <c r="P68" s="3">
        <v>12.641288640971201</v>
      </c>
      <c r="Q68" s="3">
        <v>14.2186545133171</v>
      </c>
      <c r="R68" s="3">
        <v>15.737673386268501</v>
      </c>
      <c r="S68" s="3">
        <v>6.7701494079567102</v>
      </c>
      <c r="T68" s="3">
        <v>13.857996415070501</v>
      </c>
      <c r="U68" s="3">
        <v>13.9092948535076</v>
      </c>
      <c r="V68" s="3">
        <v>17.2642980407925</v>
      </c>
    </row>
    <row r="69" spans="1:22" x14ac:dyDescent="0.35">
      <c r="A69" s="2">
        <v>43880</v>
      </c>
      <c r="B69" s="3">
        <v>12.6951140656591</v>
      </c>
      <c r="C69" s="3">
        <v>12.7585433984834</v>
      </c>
      <c r="D69" s="3">
        <v>14.5817963369804</v>
      </c>
      <c r="E69" s="3">
        <v>13.177142610557</v>
      </c>
      <c r="F69" s="3">
        <v>10.7556911532977</v>
      </c>
      <c r="G69" s="3">
        <v>14.719510585153699</v>
      </c>
      <c r="H69" s="3">
        <v>15.4959409326376</v>
      </c>
      <c r="I69" s="3">
        <v>15.070490286259</v>
      </c>
      <c r="J69" s="3">
        <v>14.3160975597232</v>
      </c>
      <c r="K69" s="3">
        <v>11.3751203914005</v>
      </c>
      <c r="L69" s="3">
        <v>14.291051066590899</v>
      </c>
      <c r="M69" s="3">
        <v>12.0973724342398</v>
      </c>
      <c r="N69" s="3">
        <v>11.027784714162401</v>
      </c>
      <c r="O69" s="3">
        <v>19.2816860052612</v>
      </c>
      <c r="P69" s="3">
        <v>12.509102554268299</v>
      </c>
      <c r="Q69" s="3">
        <v>13.1144139919952</v>
      </c>
      <c r="R69" s="3">
        <v>15.206772519027</v>
      </c>
      <c r="S69" s="3">
        <v>6.5859606170509997</v>
      </c>
      <c r="T69" s="3">
        <v>12.779779127533301</v>
      </c>
      <c r="U69" s="3">
        <v>13.2846420144697</v>
      </c>
      <c r="V69" s="3">
        <v>16.0171464846422</v>
      </c>
    </row>
    <row r="70" spans="1:22" x14ac:dyDescent="0.35">
      <c r="A70" s="2">
        <v>43909</v>
      </c>
      <c r="B70" s="3">
        <v>11.347591717298901</v>
      </c>
      <c r="C70" s="3">
        <v>8.67260690958509</v>
      </c>
      <c r="D70" s="3">
        <v>9.3304101843945908</v>
      </c>
      <c r="E70" s="3">
        <v>8.4790164124082903</v>
      </c>
      <c r="F70" s="3">
        <v>8.0838528283258206</v>
      </c>
      <c r="G70" s="3">
        <v>10.0892117615383</v>
      </c>
      <c r="H70" s="3">
        <v>12.9535166493328</v>
      </c>
      <c r="I70" s="3">
        <v>11.522732271754601</v>
      </c>
      <c r="J70" s="3">
        <v>10.6931542785745</v>
      </c>
      <c r="K70" s="3">
        <v>7.6336575476115698</v>
      </c>
      <c r="L70" s="3">
        <v>9.4783684885310002</v>
      </c>
      <c r="M70" s="3">
        <v>7.2897827984258603</v>
      </c>
      <c r="N70" s="3">
        <v>5.9810309595134798</v>
      </c>
      <c r="O70" s="3">
        <v>13.2830046309489</v>
      </c>
      <c r="P70" s="3">
        <v>10.4533455525794</v>
      </c>
      <c r="Q70" s="3">
        <v>11.6833769785835</v>
      </c>
      <c r="R70" s="3">
        <v>11.5943334691442</v>
      </c>
      <c r="S70" s="3">
        <v>4.8649795083493999</v>
      </c>
      <c r="T70" s="3">
        <v>9.2806319631784007</v>
      </c>
      <c r="U70" s="3">
        <v>11.186874075189399</v>
      </c>
      <c r="V70" s="3">
        <v>13.6522657407236</v>
      </c>
    </row>
    <row r="71" spans="1:22" x14ac:dyDescent="0.35">
      <c r="A71" s="2">
        <v>43938</v>
      </c>
      <c r="B71" s="3">
        <v>12.455873387261001</v>
      </c>
      <c r="C71" s="3">
        <v>11.154332722363201</v>
      </c>
      <c r="D71" s="3">
        <v>10.990312117995201</v>
      </c>
      <c r="E71" s="3">
        <v>11.4917876882462</v>
      </c>
      <c r="F71" s="3">
        <v>10.6565415860334</v>
      </c>
      <c r="G71" s="3">
        <v>11.8247854770358</v>
      </c>
      <c r="H71" s="3">
        <v>15.897267989474001</v>
      </c>
      <c r="I71" s="3">
        <v>14.8051028021608</v>
      </c>
      <c r="J71" s="3">
        <v>11.6704633129304</v>
      </c>
      <c r="K71" s="3">
        <v>10.8506449563759</v>
      </c>
      <c r="L71" s="3">
        <v>12.333499029191699</v>
      </c>
      <c r="M71" s="3">
        <v>9.5813203593013299</v>
      </c>
      <c r="N71" s="3">
        <v>8.3490981196602991</v>
      </c>
      <c r="O71" s="3">
        <v>16.6840945738101</v>
      </c>
      <c r="P71" s="3">
        <v>12.359104970385999</v>
      </c>
      <c r="Q71" s="3">
        <v>12.303747234785799</v>
      </c>
      <c r="R71" s="3">
        <v>15.0566281792018</v>
      </c>
      <c r="S71" s="3">
        <v>5.8896391720187999</v>
      </c>
      <c r="T71" s="3">
        <v>14.1370324990186</v>
      </c>
      <c r="U71" s="3">
        <v>13.8378112203221</v>
      </c>
      <c r="V71" s="3">
        <v>15.7920941009369</v>
      </c>
    </row>
    <row r="72" spans="1:22" x14ac:dyDescent="0.35">
      <c r="A72" s="2">
        <v>43970</v>
      </c>
      <c r="B72" s="3">
        <v>13.271189986102501</v>
      </c>
      <c r="C72" s="3">
        <v>12.785334924826</v>
      </c>
      <c r="D72" s="3">
        <v>12.391102269513</v>
      </c>
      <c r="E72" s="3">
        <v>13.0420103942478</v>
      </c>
      <c r="F72" s="3">
        <v>11.9441776515523</v>
      </c>
      <c r="G72" s="3">
        <v>15.913291913517201</v>
      </c>
      <c r="H72" s="3">
        <v>16.5294874688792</v>
      </c>
      <c r="I72" s="3">
        <v>15.302631897033899</v>
      </c>
      <c r="J72" s="3">
        <v>14.4602324376583</v>
      </c>
      <c r="K72" s="3">
        <v>11.880918188814301</v>
      </c>
      <c r="L72" s="3">
        <v>15.381159560642301</v>
      </c>
      <c r="M72" s="3">
        <v>10.723691828044901</v>
      </c>
      <c r="N72" s="3">
        <v>10.2682531188713</v>
      </c>
      <c r="O72" s="3">
        <v>17.999386623998699</v>
      </c>
      <c r="P72" s="3">
        <v>12.9380606484422</v>
      </c>
      <c r="Q72" s="3">
        <v>13.815983990480399</v>
      </c>
      <c r="R72" s="3">
        <v>18.137202550065499</v>
      </c>
      <c r="S72" s="3">
        <v>7.1653000606575397</v>
      </c>
      <c r="T72" s="3">
        <v>15.6873075384351</v>
      </c>
      <c r="U72" s="3">
        <v>14.494833744210601</v>
      </c>
      <c r="V72" s="3">
        <v>18.664331956375701</v>
      </c>
    </row>
    <row r="73" spans="1:22" x14ac:dyDescent="0.35">
      <c r="A73" s="2">
        <v>44001</v>
      </c>
      <c r="B73" s="3">
        <v>14.072741512257601</v>
      </c>
      <c r="C73" s="3">
        <v>14.7156993231899</v>
      </c>
      <c r="D73" s="3">
        <v>16.014003121664501</v>
      </c>
      <c r="E73" s="3">
        <v>15.7230832029972</v>
      </c>
      <c r="F73" s="3">
        <v>13.0687697554352</v>
      </c>
      <c r="G73" s="3">
        <v>19.5282744303132</v>
      </c>
      <c r="H73" s="3">
        <v>18.978819979981601</v>
      </c>
      <c r="I73" s="3">
        <v>16.240032746060798</v>
      </c>
      <c r="J73" s="3">
        <v>17.0243801136941</v>
      </c>
      <c r="K73" s="3">
        <v>12.7359826042865</v>
      </c>
      <c r="L73" s="3">
        <v>18.467959325959399</v>
      </c>
      <c r="M73" s="3">
        <v>11.3201841800695</v>
      </c>
      <c r="N73" s="3">
        <v>13.9868379147344</v>
      </c>
      <c r="O73" s="3">
        <v>21.907270788536799</v>
      </c>
      <c r="P73" s="3">
        <v>14.031734730965701</v>
      </c>
      <c r="Q73" s="3">
        <v>14.725162964087801</v>
      </c>
      <c r="R73" s="3">
        <v>19.495659467403001</v>
      </c>
      <c r="S73" s="3">
        <v>8.4154171667160007</v>
      </c>
      <c r="T73" s="3">
        <v>17.546694008515001</v>
      </c>
      <c r="U73" s="3">
        <v>15.2941648403324</v>
      </c>
      <c r="V73" s="3">
        <v>19.533633211472701</v>
      </c>
    </row>
    <row r="74" spans="1:22" x14ac:dyDescent="0.35">
      <c r="A74" s="2">
        <v>44029</v>
      </c>
      <c r="B74" s="3">
        <v>15.5540283013947</v>
      </c>
      <c r="C74" s="3">
        <v>14.8657337919573</v>
      </c>
      <c r="D74" s="3">
        <v>16.362347735756298</v>
      </c>
      <c r="E74" s="3">
        <v>15.282710709994699</v>
      </c>
      <c r="F74" s="3">
        <v>12.4628728812645</v>
      </c>
      <c r="G74" s="3">
        <v>19.504638568106401</v>
      </c>
      <c r="H74" s="3">
        <v>19.679463158299001</v>
      </c>
      <c r="I74" s="3">
        <v>16.711934619921401</v>
      </c>
      <c r="J74" s="3">
        <v>16.445129866511699</v>
      </c>
      <c r="K74" s="3">
        <v>12.7862466922167</v>
      </c>
      <c r="L74" s="3">
        <v>27.028995111362899</v>
      </c>
      <c r="M74" s="3">
        <v>11.8216490552858</v>
      </c>
      <c r="N74" s="3">
        <v>13.2454751922578</v>
      </c>
      <c r="O74" s="3">
        <v>23.336294680562201</v>
      </c>
      <c r="P74" s="3">
        <v>14.8051839113466</v>
      </c>
      <c r="Q74" s="3">
        <v>15.0764675781205</v>
      </c>
      <c r="R74" s="3">
        <v>19.322814291155499</v>
      </c>
      <c r="S74" s="3">
        <v>8.3844341549323609</v>
      </c>
      <c r="T74" s="3">
        <v>16.394857708240401</v>
      </c>
      <c r="U74" s="3">
        <v>15.209545859528699</v>
      </c>
      <c r="V74" s="3">
        <v>19.714263983296501</v>
      </c>
    </row>
    <row r="75" spans="1:22" x14ac:dyDescent="0.35">
      <c r="A75" s="2">
        <v>44062</v>
      </c>
      <c r="B75" s="3">
        <v>16.034465534075501</v>
      </c>
      <c r="C75" s="3">
        <v>16.0379604184476</v>
      </c>
      <c r="D75" s="3">
        <v>16.9619685448124</v>
      </c>
      <c r="E75" s="3">
        <v>16.246996699017402</v>
      </c>
      <c r="F75" s="3">
        <v>12.8076145895403</v>
      </c>
      <c r="G75" s="3">
        <v>22.881854026424001</v>
      </c>
      <c r="H75" s="3">
        <v>18.7796940341557</v>
      </c>
      <c r="I75" s="3">
        <v>16.483974077566199</v>
      </c>
      <c r="J75" s="3">
        <v>17.635049198843902</v>
      </c>
      <c r="K75" s="3">
        <v>13.1041799345352</v>
      </c>
      <c r="L75" s="3">
        <v>24.828310475868701</v>
      </c>
      <c r="M75" s="3">
        <v>11.253375540378499</v>
      </c>
      <c r="N75" s="3">
        <v>12.3100355585279</v>
      </c>
      <c r="O75" s="3">
        <v>23.723515411905201</v>
      </c>
      <c r="P75" s="3">
        <v>14.946416300558001</v>
      </c>
      <c r="Q75" s="3">
        <v>15.711543871366001</v>
      </c>
      <c r="R75" s="3">
        <v>19.164655594733599</v>
      </c>
      <c r="S75" s="3">
        <v>7.9228453024757597</v>
      </c>
      <c r="T75" s="3">
        <v>13.9029849602911</v>
      </c>
      <c r="U75" s="3">
        <v>14.529339604053501</v>
      </c>
      <c r="V75" s="3">
        <v>20.200670289131299</v>
      </c>
    </row>
    <row r="76" spans="1:22" x14ac:dyDescent="0.35">
      <c r="A76" s="2">
        <v>44092</v>
      </c>
      <c r="B76" s="3">
        <v>16.220067486720101</v>
      </c>
      <c r="C76" s="3">
        <v>14.4088126228677</v>
      </c>
      <c r="D76" s="3">
        <v>15.6504314659506</v>
      </c>
      <c r="E76" s="3">
        <v>15.819539676895101</v>
      </c>
      <c r="F76" s="3">
        <v>11.6640740578863</v>
      </c>
      <c r="G76" s="3">
        <v>21.864344573563798</v>
      </c>
      <c r="H76" s="3">
        <v>17.508566428689001</v>
      </c>
      <c r="I76" s="3">
        <v>15.716592970059899</v>
      </c>
      <c r="J76" s="3">
        <v>15.1787519290358</v>
      </c>
      <c r="K76" s="3">
        <v>12.9341533411569</v>
      </c>
      <c r="L76" s="3">
        <v>19.215604347667998</v>
      </c>
      <c r="M76" s="3">
        <v>10.686027561732899</v>
      </c>
      <c r="N76" s="3">
        <v>12.4163762693107</v>
      </c>
      <c r="O76" s="3">
        <v>23.255606471217401</v>
      </c>
      <c r="P76" s="3">
        <v>14.920291099556399</v>
      </c>
      <c r="Q76" s="3">
        <v>15.247506802076099</v>
      </c>
      <c r="R76" s="3">
        <v>18.9190665429017</v>
      </c>
      <c r="S76" s="3">
        <v>7.5064640843294397</v>
      </c>
      <c r="T76" s="3">
        <v>13.9507570627585</v>
      </c>
      <c r="U76" s="3">
        <v>15.4884222802075</v>
      </c>
      <c r="V76" s="3">
        <v>21.778468516307299</v>
      </c>
    </row>
    <row r="77" spans="1:22" x14ac:dyDescent="0.35">
      <c r="A77" s="2">
        <v>44123</v>
      </c>
      <c r="B77" s="3">
        <v>16.012347875230301</v>
      </c>
      <c r="C77" s="3">
        <v>13.7859848231244</v>
      </c>
      <c r="D77" s="3">
        <v>15.857805450638001</v>
      </c>
      <c r="E77" s="3">
        <v>15.8597232269095</v>
      </c>
      <c r="F77" s="3">
        <v>11.2651057566689</v>
      </c>
      <c r="G77" s="3">
        <v>18.351121718969502</v>
      </c>
      <c r="H77" s="3">
        <v>17.437691955226899</v>
      </c>
      <c r="I77" s="3">
        <v>15.238807840744901</v>
      </c>
      <c r="J77" s="3">
        <v>14.7483638754894</v>
      </c>
      <c r="K77" s="3">
        <v>12.1578578688591</v>
      </c>
      <c r="L77" s="3">
        <v>16.284316639452001</v>
      </c>
      <c r="M77" s="3">
        <v>10.3732172706629</v>
      </c>
      <c r="N77" s="3">
        <v>10.060269547847801</v>
      </c>
      <c r="O77" s="3">
        <v>22.911245673086601</v>
      </c>
      <c r="P77" s="3">
        <v>15.329888193253799</v>
      </c>
      <c r="Q77" s="3">
        <v>15.3821823309087</v>
      </c>
      <c r="R77" s="3">
        <v>17.3274116788625</v>
      </c>
      <c r="S77" s="3">
        <v>7.7190510709273203</v>
      </c>
      <c r="T77" s="3">
        <v>12.6786489002792</v>
      </c>
      <c r="U77" s="3">
        <v>15.5956244004204</v>
      </c>
      <c r="V77" s="3">
        <v>21.506073201930501</v>
      </c>
    </row>
    <row r="78" spans="1:22" x14ac:dyDescent="0.35">
      <c r="A78" s="2">
        <v>44154</v>
      </c>
      <c r="B78" s="3">
        <v>16.146314031251499</v>
      </c>
      <c r="C78" s="3">
        <v>14.744440952329899</v>
      </c>
      <c r="D78" s="3">
        <v>17.422004752073398</v>
      </c>
      <c r="E78" s="3">
        <v>17.723598050554902</v>
      </c>
      <c r="F78" s="3">
        <v>13.4656104825479</v>
      </c>
      <c r="G78" s="3">
        <v>17.287520910250599</v>
      </c>
      <c r="H78" s="3">
        <v>16.2180221172028</v>
      </c>
      <c r="I78" s="3">
        <v>15.4943187292756</v>
      </c>
      <c r="J78" s="3">
        <v>15.508750659360301</v>
      </c>
      <c r="K78" s="3">
        <v>12.562677669191199</v>
      </c>
      <c r="L78" s="3">
        <v>14.6197165120396</v>
      </c>
      <c r="M78" s="3">
        <v>10.337323682051901</v>
      </c>
      <c r="N78" s="3">
        <v>10.751499810810101</v>
      </c>
      <c r="O78" s="3">
        <v>22.6504900016959</v>
      </c>
      <c r="P78" s="3">
        <v>15.0692643259639</v>
      </c>
      <c r="Q78" s="3">
        <v>14.980067596474299</v>
      </c>
      <c r="R78" s="3">
        <v>18.748358763683299</v>
      </c>
      <c r="S78" s="3">
        <v>8.2674320898984703</v>
      </c>
      <c r="T78" s="3">
        <v>15.798195292955601</v>
      </c>
      <c r="U78" s="3">
        <v>15.258054903503799</v>
      </c>
      <c r="V78" s="3">
        <v>20.075079521447901</v>
      </c>
    </row>
    <row r="79" spans="1:22" x14ac:dyDescent="0.35">
      <c r="A79" s="2">
        <v>44183</v>
      </c>
      <c r="B79" s="3">
        <v>16.576009537369298</v>
      </c>
      <c r="C79" s="3">
        <v>14.0874692973831</v>
      </c>
      <c r="D79" s="3">
        <v>18.580322179188499</v>
      </c>
      <c r="E79" s="3">
        <v>16.9528066473462</v>
      </c>
      <c r="F79" s="3">
        <v>13.4457447505586</v>
      </c>
      <c r="G79" s="3">
        <v>15.660633794530399</v>
      </c>
      <c r="H79" s="3">
        <v>15.3470234092752</v>
      </c>
      <c r="I79" s="3">
        <v>15.611758662966</v>
      </c>
      <c r="J79" s="3">
        <v>15.325074877776</v>
      </c>
      <c r="K79" s="3">
        <v>13.216504288911</v>
      </c>
      <c r="L79" s="3">
        <v>13.4363643864464</v>
      </c>
      <c r="M79" s="3">
        <v>10.1328408832743</v>
      </c>
      <c r="N79" s="3">
        <v>12.3676551289527</v>
      </c>
      <c r="O79" s="3">
        <v>24.205899996427501</v>
      </c>
      <c r="P79" s="3">
        <v>15.530326766720901</v>
      </c>
      <c r="Q79" s="3">
        <v>14.3315133225311</v>
      </c>
      <c r="R79" s="3">
        <v>19.380283206012599</v>
      </c>
      <c r="S79" s="3">
        <v>7.8093586217476396</v>
      </c>
      <c r="T79" s="3">
        <v>15.4945525684101</v>
      </c>
      <c r="U79" s="3">
        <v>16.124594854133399</v>
      </c>
      <c r="V79" s="3">
        <v>19.3860518146784</v>
      </c>
    </row>
    <row r="80" spans="1:22" x14ac:dyDescent="0.35">
      <c r="A80" s="2">
        <v>44215</v>
      </c>
      <c r="B80" s="3">
        <v>17.861747516878399</v>
      </c>
      <c r="C80" s="3">
        <v>15.118046197981</v>
      </c>
      <c r="D80" s="3">
        <v>18.055782138562599</v>
      </c>
      <c r="E80" s="3">
        <v>16.735168767577399</v>
      </c>
      <c r="F80" s="3">
        <v>13.748474907646701</v>
      </c>
      <c r="G80" s="3">
        <v>14.483917626525701</v>
      </c>
      <c r="H80" s="3">
        <v>14.5480024871719</v>
      </c>
      <c r="I80" s="3">
        <v>16.823343296111101</v>
      </c>
      <c r="J80" s="3">
        <v>15.088902111122099</v>
      </c>
      <c r="K80" s="3">
        <v>14.443454671198101</v>
      </c>
      <c r="L80" s="3">
        <v>12.1171280846148</v>
      </c>
      <c r="M80" s="3">
        <v>10.0540657922077</v>
      </c>
      <c r="N80" s="3">
        <v>11.387748898526601</v>
      </c>
      <c r="O80" s="3">
        <v>24.319090624854098</v>
      </c>
      <c r="P80" s="3">
        <v>17.3127865784971</v>
      </c>
      <c r="Q80" s="3">
        <v>14.3307473262466</v>
      </c>
      <c r="R80" s="3">
        <v>20.070982204676501</v>
      </c>
      <c r="S80" s="3">
        <v>7.9655034752199203</v>
      </c>
      <c r="T80" s="3">
        <v>16.601221078470399</v>
      </c>
      <c r="U80" s="3">
        <v>16.781582148564699</v>
      </c>
      <c r="V80" s="3">
        <v>19.105264524683601</v>
      </c>
    </row>
    <row r="81" spans="1:22" x14ac:dyDescent="0.35">
      <c r="A81" s="2">
        <v>44246</v>
      </c>
      <c r="B81" s="3">
        <v>18.812004866741901</v>
      </c>
      <c r="C81" s="3">
        <v>14.5928283822617</v>
      </c>
      <c r="D81" s="3">
        <v>17.356855598773802</v>
      </c>
      <c r="E81" s="3">
        <v>15.7703353045874</v>
      </c>
      <c r="F81" s="3">
        <v>11.126666159119999</v>
      </c>
      <c r="G81" s="3">
        <v>15.732868307118601</v>
      </c>
      <c r="H81" s="3">
        <v>14.074259557883099</v>
      </c>
      <c r="I81" s="3">
        <v>16.1615612122519</v>
      </c>
      <c r="J81" s="3">
        <v>14.442463572067201</v>
      </c>
      <c r="K81" s="3">
        <v>13.8542482965583</v>
      </c>
      <c r="L81" s="3">
        <v>11.0444541618222</v>
      </c>
      <c r="M81" s="3">
        <v>10.397170547957201</v>
      </c>
      <c r="N81" s="3">
        <v>11.9567457052128</v>
      </c>
      <c r="O81" s="3">
        <v>23.460429370944301</v>
      </c>
      <c r="P81" s="3">
        <v>18.644319226955499</v>
      </c>
      <c r="Q81" s="3">
        <v>13.4570796607586</v>
      </c>
      <c r="R81" s="3">
        <v>19.1906983514628</v>
      </c>
      <c r="S81" s="3">
        <v>7.3832121923067104</v>
      </c>
      <c r="T81" s="3">
        <v>15.198679928094601</v>
      </c>
      <c r="U81" s="3">
        <v>17.232129235811598</v>
      </c>
      <c r="V81" s="3">
        <v>18.4333937713157</v>
      </c>
    </row>
    <row r="82" spans="1:22" x14ac:dyDescent="0.35">
      <c r="A82" s="2">
        <v>44274</v>
      </c>
      <c r="B82" s="3">
        <v>16.0034985991763</v>
      </c>
      <c r="C82" s="3">
        <v>14.813961289511701</v>
      </c>
      <c r="D82" s="3">
        <v>17.014018621590498</v>
      </c>
      <c r="E82" s="3">
        <v>14.9120870776805</v>
      </c>
      <c r="F82" s="3">
        <v>11.4188857470676</v>
      </c>
      <c r="G82" s="3">
        <v>14.107097384508499</v>
      </c>
      <c r="H82" s="3">
        <v>14.471437260784599</v>
      </c>
      <c r="I82" s="3">
        <v>15.320270858186101</v>
      </c>
      <c r="J82" s="3">
        <v>14.8225353621038</v>
      </c>
      <c r="K82" s="3">
        <v>13.1859641058292</v>
      </c>
      <c r="L82" s="3">
        <v>9.60975069136048</v>
      </c>
      <c r="M82" s="3">
        <v>10.0256346099296</v>
      </c>
      <c r="N82" s="3">
        <v>11.927907699992399</v>
      </c>
      <c r="O82" s="3">
        <v>22.997981854231</v>
      </c>
      <c r="P82" s="3">
        <v>16.5994853104668</v>
      </c>
      <c r="Q82" s="3">
        <v>13.534660552882601</v>
      </c>
      <c r="R82" s="3">
        <v>19.505257672529599</v>
      </c>
      <c r="S82" s="3">
        <v>7.28167452315801</v>
      </c>
      <c r="T82" s="3">
        <v>15.344105251434501</v>
      </c>
      <c r="U82" s="3">
        <v>16.7831603695731</v>
      </c>
      <c r="V82" s="3">
        <v>18.665994348641</v>
      </c>
    </row>
    <row r="83" spans="1:22" x14ac:dyDescent="0.35">
      <c r="A83" s="2">
        <v>44305</v>
      </c>
      <c r="B83" s="3">
        <v>16.0977867534558</v>
      </c>
      <c r="C83" s="3">
        <v>13.9641430871709</v>
      </c>
      <c r="D83" s="3">
        <v>16.2254012166443</v>
      </c>
      <c r="E83" s="3">
        <v>14.758940171095499</v>
      </c>
      <c r="F83" s="3">
        <v>11.8603949457745</v>
      </c>
      <c r="G83" s="3">
        <v>11.639099218103301</v>
      </c>
      <c r="H83" s="3">
        <v>14.226922419998299</v>
      </c>
      <c r="I83" s="3">
        <v>15.3554684622398</v>
      </c>
      <c r="J83" s="3">
        <v>15.042793628475</v>
      </c>
      <c r="K83" s="3">
        <v>13.1787553469764</v>
      </c>
      <c r="L83" s="3">
        <v>9.2510751610432997</v>
      </c>
      <c r="M83" s="3">
        <v>9.9257906389288593</v>
      </c>
      <c r="N83" s="3">
        <v>12.344129682647001</v>
      </c>
      <c r="O83" s="3">
        <v>22.079787662242499</v>
      </c>
      <c r="P83" s="3">
        <v>16.082217478113002</v>
      </c>
      <c r="Q83" s="3">
        <v>14.075940550304299</v>
      </c>
      <c r="R83" s="3">
        <v>19.104918573486799</v>
      </c>
      <c r="S83" s="3">
        <v>6.1798017266667999</v>
      </c>
      <c r="T83" s="3">
        <v>14.106749876774</v>
      </c>
      <c r="U83" s="3">
        <v>17.2682648954091</v>
      </c>
      <c r="V83" s="3">
        <v>19.2239743610616</v>
      </c>
    </row>
    <row r="84" spans="1:22" x14ac:dyDescent="0.35">
      <c r="A84" s="2">
        <v>44335</v>
      </c>
      <c r="B84" s="3">
        <v>16.292634378161701</v>
      </c>
      <c r="C84" s="3">
        <v>10.9857808203144</v>
      </c>
      <c r="D84" s="3">
        <v>15.112685422215099</v>
      </c>
      <c r="E84" s="3">
        <v>14.6367139884899</v>
      </c>
      <c r="F84" s="3">
        <v>12.7070154141778</v>
      </c>
      <c r="G84" s="3">
        <v>11.4225674914303</v>
      </c>
      <c r="H84" s="3">
        <v>13.955858885304799</v>
      </c>
      <c r="I84" s="3">
        <v>13.1425666041697</v>
      </c>
      <c r="J84" s="3">
        <v>14.886727849959801</v>
      </c>
      <c r="K84" s="3">
        <v>11.209276998337099</v>
      </c>
      <c r="L84" s="3">
        <v>9.0129127134484204</v>
      </c>
      <c r="M84" s="3">
        <v>9.5875990125285995</v>
      </c>
      <c r="N84" s="3">
        <v>8.3765877074828499</v>
      </c>
      <c r="O84" s="3">
        <v>22.660964792948601</v>
      </c>
      <c r="P84" s="3">
        <v>15.416249923833901</v>
      </c>
      <c r="Q84" s="3">
        <v>13.774692856611299</v>
      </c>
      <c r="R84" s="3">
        <v>17.684686334051499</v>
      </c>
      <c r="S84" s="3">
        <v>6.3298624316365499</v>
      </c>
      <c r="T84" s="3">
        <v>14.284419899437999</v>
      </c>
      <c r="U84" s="3">
        <v>16.547256094100099</v>
      </c>
      <c r="V84" s="3">
        <v>19.0123009706437</v>
      </c>
    </row>
    <row r="85" spans="1:22" x14ac:dyDescent="0.35">
      <c r="A85" s="2">
        <v>44365</v>
      </c>
      <c r="B85" s="3">
        <v>16.2746684357029</v>
      </c>
      <c r="C85" s="3">
        <v>11.2624654593054</v>
      </c>
      <c r="D85" s="3">
        <v>15.1554139295911</v>
      </c>
      <c r="E85" s="3">
        <v>16.284761673354399</v>
      </c>
      <c r="F85" s="3">
        <v>12.4912749891195</v>
      </c>
      <c r="G85" s="3">
        <v>8.6461557506654305</v>
      </c>
      <c r="H85" s="3">
        <v>14.060905175409401</v>
      </c>
      <c r="I85" s="3">
        <v>13.801237796366699</v>
      </c>
      <c r="J85" s="3">
        <v>15.0939013027873</v>
      </c>
      <c r="K85" s="3">
        <v>11.326943078380401</v>
      </c>
      <c r="L85" s="3">
        <v>9.3758474766601605</v>
      </c>
      <c r="M85" s="3">
        <v>9.4177049007135007</v>
      </c>
      <c r="N85" s="3">
        <v>12.5071131953639</v>
      </c>
      <c r="O85" s="3">
        <v>23.258079400742801</v>
      </c>
      <c r="P85" s="3">
        <v>15.876295033902499</v>
      </c>
      <c r="Q85" s="3">
        <v>13.5269807528396</v>
      </c>
      <c r="R85" s="3">
        <v>17.808485152821401</v>
      </c>
      <c r="S85" s="3">
        <v>5.8482403427525496</v>
      </c>
      <c r="T85" s="3">
        <v>15.0821755911577</v>
      </c>
      <c r="U85" s="3">
        <v>18.170751225514099</v>
      </c>
      <c r="V85" s="3">
        <v>19.425936852423199</v>
      </c>
    </row>
    <row r="86" spans="1:22" x14ac:dyDescent="0.35">
      <c r="A86" s="2">
        <v>44396</v>
      </c>
      <c r="B86" s="3">
        <v>16.060596675346599</v>
      </c>
      <c r="C86" s="3">
        <v>10.5854159940999</v>
      </c>
      <c r="D86" s="3">
        <v>14.632960587919101</v>
      </c>
      <c r="E86" s="3">
        <v>15.3390495193578</v>
      </c>
      <c r="F86" s="3">
        <v>11.6495219981845</v>
      </c>
      <c r="G86" s="3">
        <v>9.0785388203493493</v>
      </c>
      <c r="H86" s="3">
        <v>13.539749449964599</v>
      </c>
      <c r="I86" s="3">
        <v>13.831468523346301</v>
      </c>
      <c r="J86" s="3">
        <v>14.153081768476699</v>
      </c>
      <c r="K86" s="3">
        <v>10.968217046668499</v>
      </c>
      <c r="L86" s="3">
        <v>8.6495265145157294</v>
      </c>
      <c r="M86" s="3">
        <v>9.1346618783209195</v>
      </c>
      <c r="N86" s="3">
        <v>10.768919683278501</v>
      </c>
      <c r="O86" s="3">
        <v>22.958016759072201</v>
      </c>
      <c r="P86" s="3">
        <v>15.0557633311732</v>
      </c>
      <c r="Q86" s="3">
        <v>13.0097417534814</v>
      </c>
      <c r="R86" s="3">
        <v>16.8880633669716</v>
      </c>
      <c r="S86" s="3">
        <v>5.4782520290297798</v>
      </c>
      <c r="T86" s="3">
        <v>14.1932972460498</v>
      </c>
      <c r="U86" s="3">
        <v>16.270335213767801</v>
      </c>
      <c r="V86" s="3">
        <v>18.961630862949299</v>
      </c>
    </row>
    <row r="87" spans="1:22" x14ac:dyDescent="0.35">
      <c r="A87" s="2">
        <v>44427</v>
      </c>
      <c r="B87" s="3">
        <v>15.250202574067799</v>
      </c>
      <c r="C87" s="3">
        <v>10.0065329265096</v>
      </c>
      <c r="D87" s="3">
        <v>14.9144654915233</v>
      </c>
      <c r="E87" s="3">
        <v>15.379600887133201</v>
      </c>
      <c r="F87" s="3">
        <v>11.817470486767499</v>
      </c>
      <c r="G87" s="3">
        <v>8.5091231120609603</v>
      </c>
      <c r="H87" s="3">
        <v>13.4593202751515</v>
      </c>
      <c r="I87" s="3">
        <v>12.4615540034928</v>
      </c>
      <c r="J87" s="3">
        <v>14.3718785324278</v>
      </c>
      <c r="K87" s="3">
        <v>10.0859589748706</v>
      </c>
      <c r="L87" s="3">
        <v>7.7828746899319698</v>
      </c>
      <c r="M87" s="3">
        <v>8.8026194035386993</v>
      </c>
      <c r="N87" s="3">
        <v>10.7736172885415</v>
      </c>
      <c r="O87" s="3">
        <v>23.7938539974691</v>
      </c>
      <c r="P87" s="3">
        <v>13.066390825171</v>
      </c>
      <c r="Q87" s="3">
        <v>13.4513116997931</v>
      </c>
      <c r="R87" s="3">
        <v>16.775969345028098</v>
      </c>
      <c r="S87" s="3">
        <v>5.4353580087492004</v>
      </c>
      <c r="T87" s="3">
        <v>14.432111912612701</v>
      </c>
      <c r="U87" s="3">
        <v>16.4954760304643</v>
      </c>
      <c r="V87" s="3">
        <v>18.8985531854483</v>
      </c>
    </row>
    <row r="88" spans="1:22" x14ac:dyDescent="0.35">
      <c r="A88" s="2">
        <v>44456</v>
      </c>
      <c r="B88" s="3">
        <v>15.3417551092579</v>
      </c>
      <c r="C88" s="3">
        <v>10.2725740790329</v>
      </c>
      <c r="D88" s="3">
        <v>14.9087211999452</v>
      </c>
      <c r="E88" s="3">
        <v>15.755173666623101</v>
      </c>
      <c r="F88" s="3">
        <v>11.4559438611636</v>
      </c>
      <c r="G88" s="3">
        <v>8.8790741379183409</v>
      </c>
      <c r="H88" s="3">
        <v>14.126964362875899</v>
      </c>
      <c r="I88" s="3">
        <v>13.1273858489583</v>
      </c>
      <c r="J88" s="3">
        <v>13.974487991017799</v>
      </c>
      <c r="K88" s="3">
        <v>10.312536230658299</v>
      </c>
      <c r="L88" s="3">
        <v>7.5213947432603101</v>
      </c>
      <c r="M88" s="3">
        <v>8.8228516645144897</v>
      </c>
      <c r="N88" s="3">
        <v>10.5023214659166</v>
      </c>
      <c r="O88" s="3">
        <v>24.766451911710998</v>
      </c>
      <c r="P88" s="3">
        <v>13.4577907432427</v>
      </c>
      <c r="Q88" s="3">
        <v>13.2319191044104</v>
      </c>
      <c r="R88" s="3">
        <v>17.515295244493501</v>
      </c>
      <c r="S88" s="3">
        <v>5.2632989956638996</v>
      </c>
      <c r="T88" s="3">
        <v>14.7478241673355</v>
      </c>
      <c r="U88" s="3">
        <v>16.144281531885099</v>
      </c>
      <c r="V88" s="3">
        <v>18.957864037726399</v>
      </c>
    </row>
    <row r="89" spans="1:22" x14ac:dyDescent="0.35">
      <c r="A89" s="2">
        <v>44488</v>
      </c>
      <c r="B89" s="3">
        <v>15.420725017797499</v>
      </c>
      <c r="C89" s="3">
        <v>9.1032586889335292</v>
      </c>
      <c r="D89" s="3">
        <v>15.933803874326401</v>
      </c>
      <c r="E89" s="3">
        <v>16.727300963979101</v>
      </c>
      <c r="F89" s="3">
        <v>12.128428161803701</v>
      </c>
      <c r="G89" s="3">
        <v>10.155681686469499</v>
      </c>
      <c r="H89" s="3">
        <v>14.742498759673101</v>
      </c>
      <c r="I89" s="3">
        <v>12.7393100225487</v>
      </c>
      <c r="J89" s="3">
        <v>14.108064552792699</v>
      </c>
      <c r="K89" s="3">
        <v>10.110565960793</v>
      </c>
      <c r="L89" s="3">
        <v>7.7145271262273196</v>
      </c>
      <c r="M89" s="3">
        <v>9.5814399101608796</v>
      </c>
      <c r="N89" s="3">
        <v>10.4639807409723</v>
      </c>
      <c r="O89" s="3">
        <v>24.9296855097841</v>
      </c>
      <c r="P89" s="3">
        <v>13.8428436346897</v>
      </c>
      <c r="Q89" s="3">
        <v>13.492027071309</v>
      </c>
      <c r="R89" s="3">
        <v>17.302861730117002</v>
      </c>
      <c r="S89" s="3">
        <v>5.1325293729493602</v>
      </c>
      <c r="T89" s="3">
        <v>14.5964932726478</v>
      </c>
      <c r="U89" s="3">
        <v>16.170629073857299</v>
      </c>
      <c r="V89" s="3">
        <v>19.182796249493801</v>
      </c>
    </row>
    <row r="90" spans="1:22" x14ac:dyDescent="0.35">
      <c r="A90" s="2">
        <v>44519</v>
      </c>
      <c r="B90" s="3">
        <v>15.265761539138801</v>
      </c>
      <c r="C90" s="3">
        <v>9.3942978451388299</v>
      </c>
      <c r="D90" s="3">
        <v>15.2827512157491</v>
      </c>
      <c r="E90" s="3">
        <v>16.082877520096002</v>
      </c>
      <c r="F90" s="3">
        <v>11.2373933349401</v>
      </c>
      <c r="G90" s="3">
        <v>9.8089857963846594</v>
      </c>
      <c r="H90" s="3">
        <v>14.286944980152001</v>
      </c>
      <c r="I90" s="3">
        <v>13.475855147720999</v>
      </c>
      <c r="J90" s="3">
        <v>13.3361355546726</v>
      </c>
      <c r="K90" s="3">
        <v>10.079191975651201</v>
      </c>
      <c r="L90" s="3">
        <v>7.3102257935638901</v>
      </c>
      <c r="M90" s="3">
        <v>9.5920285029125694</v>
      </c>
      <c r="N90" s="3">
        <v>11.6198953328957</v>
      </c>
      <c r="O90" s="3">
        <v>23.658131338925099</v>
      </c>
      <c r="P90" s="3">
        <v>13.2664827677639</v>
      </c>
      <c r="Q90" s="3">
        <v>13.6559788618968</v>
      </c>
      <c r="R90" s="3">
        <v>17.489493521529798</v>
      </c>
      <c r="S90" s="3">
        <v>5.8493987395047702</v>
      </c>
      <c r="T90" s="3">
        <v>15.637340298627899</v>
      </c>
      <c r="U90" s="3">
        <v>15.8200403814923</v>
      </c>
      <c r="V90" s="3">
        <v>18.7094246791868</v>
      </c>
    </row>
    <row r="91" spans="1:22" x14ac:dyDescent="0.35">
      <c r="A91" s="2">
        <v>44547</v>
      </c>
      <c r="B91" s="3">
        <v>15.4946778605342</v>
      </c>
      <c r="C91" s="3">
        <v>9.6071860706742598</v>
      </c>
      <c r="D91" s="3">
        <v>14.734731104948001</v>
      </c>
      <c r="E91" s="3">
        <v>15.5604807924772</v>
      </c>
      <c r="F91" s="3">
        <v>10.1231538951755</v>
      </c>
      <c r="G91" s="3">
        <v>9.6362066074492603</v>
      </c>
      <c r="H91" s="3">
        <v>15.0721590594282</v>
      </c>
      <c r="I91" s="3">
        <v>13.4053765972471</v>
      </c>
      <c r="J91" s="3">
        <v>13.657026218124001</v>
      </c>
      <c r="K91" s="3">
        <v>10.3864847101005</v>
      </c>
      <c r="L91" s="3">
        <v>7.8827162527922496</v>
      </c>
      <c r="M91" s="3">
        <v>9.5780549749465695</v>
      </c>
      <c r="N91" s="3">
        <v>9.5798237260431893</v>
      </c>
      <c r="O91" s="3">
        <v>22.757053620475801</v>
      </c>
      <c r="P91" s="3">
        <v>12.3832555198605</v>
      </c>
      <c r="Q91" s="3">
        <v>13.144334564970601</v>
      </c>
      <c r="R91" s="3">
        <v>17.1089118734041</v>
      </c>
      <c r="S91" s="3">
        <v>6.4854338579017696</v>
      </c>
      <c r="T91" s="3">
        <v>16.505792938801399</v>
      </c>
      <c r="U91" s="3">
        <v>16.7478556931326</v>
      </c>
      <c r="V91" s="3">
        <v>17.740556433797899</v>
      </c>
    </row>
    <row r="92" spans="1:22" x14ac:dyDescent="0.35">
      <c r="A92" s="2">
        <v>44580</v>
      </c>
      <c r="B92" s="3">
        <v>14.6372918974422</v>
      </c>
      <c r="C92" s="3">
        <v>9.7248633728785592</v>
      </c>
      <c r="D92" s="3">
        <v>14.624385068294901</v>
      </c>
      <c r="E92" s="3">
        <v>15.171520716111701</v>
      </c>
      <c r="F92" s="3">
        <v>10.745271148429399</v>
      </c>
      <c r="G92" s="3">
        <v>11.490786089686299</v>
      </c>
      <c r="H92" s="3">
        <v>15.2961866259737</v>
      </c>
      <c r="I92" s="3">
        <v>13.1425498816927</v>
      </c>
      <c r="J92" s="3">
        <v>13.649014604919</v>
      </c>
      <c r="K92" s="3">
        <v>9.7193485957880394</v>
      </c>
      <c r="L92" s="3">
        <v>7.9457336938680401</v>
      </c>
      <c r="M92" s="3">
        <v>9.8299699669715395</v>
      </c>
      <c r="N92" s="3">
        <v>10.0557684381071</v>
      </c>
      <c r="O92" s="3">
        <v>23.4792242249836</v>
      </c>
      <c r="P92" s="3">
        <v>12.4661743322295</v>
      </c>
      <c r="Q92" s="3">
        <v>13.707669996852101</v>
      </c>
      <c r="R92" s="3">
        <v>17.279644454550699</v>
      </c>
      <c r="S92" s="3">
        <v>5.5348774367590403</v>
      </c>
      <c r="T92" s="3">
        <v>15.8711428626334</v>
      </c>
      <c r="U92" s="3">
        <v>15.118770384642801</v>
      </c>
      <c r="V92" s="3">
        <v>19.252242940305401</v>
      </c>
    </row>
    <row r="93" spans="1:22" x14ac:dyDescent="0.35">
      <c r="A93" s="2">
        <v>44610</v>
      </c>
      <c r="B93" s="3">
        <v>14.000481317186299</v>
      </c>
      <c r="C93" s="3">
        <v>9.95959542751371</v>
      </c>
      <c r="D93" s="3">
        <v>15.308968227496999</v>
      </c>
      <c r="E93" s="3">
        <v>15.330597624359999</v>
      </c>
      <c r="F93" s="3">
        <v>9.8199972448932602</v>
      </c>
      <c r="G93" s="3">
        <v>11.0342327955294</v>
      </c>
      <c r="H93" s="3">
        <v>15.6406716713714</v>
      </c>
      <c r="I93" s="3">
        <v>12.875670205129101</v>
      </c>
      <c r="J93" s="3">
        <v>13.440342705882699</v>
      </c>
      <c r="K93" s="3">
        <v>9.5040983345767494</v>
      </c>
      <c r="L93" s="3">
        <v>8.0099229583985991</v>
      </c>
      <c r="M93" s="3">
        <v>10.0537203757874</v>
      </c>
      <c r="N93" s="3">
        <v>10.201557210517301</v>
      </c>
      <c r="O93" s="3">
        <v>22.066089060931301</v>
      </c>
      <c r="P93" s="3">
        <v>12.099443636824301</v>
      </c>
      <c r="Q93" s="3">
        <v>13.6645929212682</v>
      </c>
      <c r="R93" s="3">
        <v>17.6300519578113</v>
      </c>
      <c r="S93" s="3">
        <v>4.5816877858273299</v>
      </c>
      <c r="T93" s="3">
        <v>15.7388866747987</v>
      </c>
      <c r="U93" s="3">
        <v>15.1246790861625</v>
      </c>
      <c r="V93" s="3">
        <v>19.069907582587</v>
      </c>
    </row>
    <row r="94" spans="1:22" x14ac:dyDescent="0.35">
      <c r="A94" s="2">
        <v>44638</v>
      </c>
      <c r="B94" s="3">
        <v>12.897450449683401</v>
      </c>
      <c r="C94" s="3">
        <v>9.6210641932355205</v>
      </c>
      <c r="D94" s="3">
        <v>14.848000384038301</v>
      </c>
      <c r="E94" s="3">
        <v>14.4255732345078</v>
      </c>
      <c r="F94" s="3">
        <v>9.3489995979185991</v>
      </c>
      <c r="G94" s="3">
        <v>11.530039602872399</v>
      </c>
      <c r="H94" s="3">
        <v>15.328967973475599</v>
      </c>
      <c r="I94" s="3">
        <v>12.331402144839799</v>
      </c>
      <c r="J94" s="3">
        <v>14.095407963071599</v>
      </c>
      <c r="K94" s="3">
        <v>9.3562607304099004</v>
      </c>
      <c r="L94" s="3">
        <v>7.8262589167642496</v>
      </c>
      <c r="M94" s="3">
        <v>10.0479948889872</v>
      </c>
      <c r="N94" s="3">
        <v>9.72878723858339</v>
      </c>
      <c r="O94" s="3">
        <v>21.9012401607248</v>
      </c>
      <c r="P94" s="3">
        <v>10.6331450330604</v>
      </c>
      <c r="Q94" s="3">
        <v>14.1950607397659</v>
      </c>
      <c r="R94" s="3">
        <v>17.0491697982809</v>
      </c>
      <c r="S94" s="3">
        <v>4.6487742146702304</v>
      </c>
      <c r="T94" s="3">
        <v>15.989184280898201</v>
      </c>
      <c r="U94" s="3">
        <v>14.368764927773899</v>
      </c>
      <c r="V94" s="3">
        <v>19.130135652448701</v>
      </c>
    </row>
    <row r="95" spans="1:22" x14ac:dyDescent="0.35">
      <c r="A95" s="2">
        <v>44670</v>
      </c>
      <c r="B95" s="3">
        <v>12.519801674169599</v>
      </c>
      <c r="C95" s="3">
        <v>9.5526805728902193</v>
      </c>
      <c r="D95" s="3">
        <v>14.240324739913101</v>
      </c>
      <c r="E95" s="3">
        <v>14.2983925515443</v>
      </c>
      <c r="F95" s="3">
        <v>8.6245635174764992</v>
      </c>
      <c r="G95" s="3">
        <v>9.8700880657309504</v>
      </c>
      <c r="H95" s="3">
        <v>14.9443363616078</v>
      </c>
      <c r="I95" s="3">
        <v>11.6640559427646</v>
      </c>
      <c r="J95" s="3">
        <v>13.8209516251673</v>
      </c>
      <c r="K95" s="3">
        <v>9.2126917883814201</v>
      </c>
      <c r="L95" s="3">
        <v>7.3437540680995701</v>
      </c>
      <c r="M95" s="3">
        <v>9.4276559969162594</v>
      </c>
      <c r="N95" s="3">
        <v>10.3458958238945</v>
      </c>
      <c r="O95" s="3">
        <v>21.5910197736249</v>
      </c>
      <c r="P95" s="3">
        <v>10.3737806337365</v>
      </c>
      <c r="Q95" s="3">
        <v>14.069987320718001</v>
      </c>
      <c r="R95" s="3">
        <v>16.6064907421142</v>
      </c>
      <c r="S95" s="3">
        <v>5.1612613467105701</v>
      </c>
      <c r="T95" s="3">
        <v>16.433322577606699</v>
      </c>
      <c r="U95" s="3">
        <v>13.5653583852494</v>
      </c>
      <c r="V95" s="3">
        <v>19.168843127212</v>
      </c>
    </row>
    <row r="96" spans="1:22" x14ac:dyDescent="0.35">
      <c r="A96" s="2">
        <v>44700</v>
      </c>
      <c r="B96" s="3">
        <v>12.493459637394301</v>
      </c>
      <c r="C96" s="3">
        <v>8.8066021902694605</v>
      </c>
      <c r="D96" s="3">
        <v>13.3548184809102</v>
      </c>
      <c r="E96" s="3">
        <v>12.9755871720693</v>
      </c>
      <c r="F96" s="3">
        <v>6.8449449166576297</v>
      </c>
      <c r="G96" s="3">
        <v>8.0036977158894107</v>
      </c>
      <c r="H96" s="3">
        <v>14.431452229543901</v>
      </c>
      <c r="I96" s="3">
        <v>11.2811862038321</v>
      </c>
      <c r="J96" s="3">
        <v>12.7013352597377</v>
      </c>
      <c r="K96" s="3">
        <v>8.7765163110295905</v>
      </c>
      <c r="L96" s="3">
        <v>6.4619102099486403</v>
      </c>
      <c r="M96" s="3">
        <v>8.7711351058345208</v>
      </c>
      <c r="N96" s="3">
        <v>8.9863534762527202</v>
      </c>
      <c r="O96" s="3">
        <v>19.894587098422701</v>
      </c>
      <c r="P96" s="3">
        <v>10.494661709778301</v>
      </c>
      <c r="Q96" s="3">
        <v>12.676437291889499</v>
      </c>
      <c r="R96" s="3">
        <v>15.916301434614001</v>
      </c>
      <c r="S96" s="3">
        <v>4.3841060455404604</v>
      </c>
      <c r="T96" s="3">
        <v>14.6229841412281</v>
      </c>
      <c r="U96" s="3">
        <v>12.262555653794401</v>
      </c>
      <c r="V96" s="3">
        <v>16.775817907596899</v>
      </c>
    </row>
    <row r="97" spans="1:22" x14ac:dyDescent="0.35">
      <c r="A97" s="2">
        <v>44729</v>
      </c>
      <c r="B97" s="3">
        <v>13.3307181326671</v>
      </c>
      <c r="C97" s="3">
        <v>6.6392755306390896</v>
      </c>
      <c r="D97" s="3">
        <v>12.6439667582656</v>
      </c>
      <c r="E97" s="3">
        <v>12.873465898159001</v>
      </c>
      <c r="F97" s="3">
        <v>6.5039768762477301</v>
      </c>
      <c r="G97" s="3">
        <v>7.5827139834230897</v>
      </c>
      <c r="H97" s="3">
        <v>13.580182058217799</v>
      </c>
      <c r="I97" s="3">
        <v>10.928864852716</v>
      </c>
      <c r="J97" s="3">
        <v>11.5797363470021</v>
      </c>
      <c r="K97" s="3">
        <v>8.2529948749506694</v>
      </c>
      <c r="L97" s="3">
        <v>6.0237765207560301</v>
      </c>
      <c r="M97" s="3">
        <v>8.2950298553537607</v>
      </c>
      <c r="N97" s="3">
        <v>8.3670002768591196</v>
      </c>
      <c r="O97" s="3">
        <v>19.3492131284744</v>
      </c>
      <c r="P97" s="3">
        <v>11.5133059845879</v>
      </c>
      <c r="Q97" s="3">
        <v>12.107538837557801</v>
      </c>
      <c r="R97" s="3">
        <v>15.1457237135107</v>
      </c>
      <c r="S97" s="3">
        <v>4.8242696651075496</v>
      </c>
      <c r="T97" s="3">
        <v>13.423594794556699</v>
      </c>
      <c r="U97" s="3">
        <v>11.856891163436799</v>
      </c>
      <c r="V97" s="3">
        <v>15.9803947779609</v>
      </c>
    </row>
    <row r="98" spans="1:22" x14ac:dyDescent="0.35">
      <c r="A98" s="2">
        <v>44761</v>
      </c>
      <c r="B98" s="3">
        <v>13.1559454616678</v>
      </c>
      <c r="C98" s="3">
        <v>6.55782768639257</v>
      </c>
      <c r="D98" s="3">
        <v>12.2888717793679</v>
      </c>
      <c r="E98" s="3">
        <v>12.644524469556201</v>
      </c>
      <c r="F98" s="3">
        <v>5.9871163984146403</v>
      </c>
      <c r="G98" s="3">
        <v>7.0819491829869099</v>
      </c>
      <c r="H98" s="3">
        <v>13.3240371062432</v>
      </c>
      <c r="I98" s="3">
        <v>10.263563413055801</v>
      </c>
      <c r="J98" s="3">
        <v>11.5420425599916</v>
      </c>
      <c r="K98" s="3">
        <v>8.3985147192344591</v>
      </c>
      <c r="L98" s="3">
        <v>5.9712201638034301</v>
      </c>
      <c r="M98" s="3">
        <v>8.7323792017244894</v>
      </c>
      <c r="N98" s="3">
        <v>7.5884982590572498</v>
      </c>
      <c r="O98" s="3">
        <v>20.723359709297299</v>
      </c>
      <c r="P98" s="3">
        <v>11.3166363242945</v>
      </c>
      <c r="Q98" s="3">
        <v>12.337550726277501</v>
      </c>
      <c r="R98" s="3">
        <v>14.8354597960632</v>
      </c>
      <c r="S98" s="3">
        <v>4.3297981645622698</v>
      </c>
      <c r="T98" s="3">
        <v>12.8839290388674</v>
      </c>
      <c r="U98" s="3">
        <v>10.836346869309599</v>
      </c>
      <c r="V98" s="3">
        <v>16.078214533499601</v>
      </c>
    </row>
    <row r="99" spans="1:22" x14ac:dyDescent="0.35">
      <c r="A99" s="2">
        <v>44792</v>
      </c>
      <c r="B99" s="3">
        <v>12.7315249578555</v>
      </c>
      <c r="C99" s="3">
        <v>6.4629719238261902</v>
      </c>
      <c r="D99" s="3">
        <v>12.920844874290699</v>
      </c>
      <c r="E99" s="3">
        <v>13.2891405610475</v>
      </c>
      <c r="F99" s="3">
        <v>6.2662199704010604</v>
      </c>
      <c r="G99" s="3">
        <v>7.6353362207512498</v>
      </c>
      <c r="H99" s="3">
        <v>13.9471022368568</v>
      </c>
      <c r="I99" s="3">
        <v>11.2686192988852</v>
      </c>
      <c r="J99" s="3">
        <v>11.8300900069314</v>
      </c>
      <c r="K99" s="3">
        <v>8.81321177289602</v>
      </c>
      <c r="L99" s="3">
        <v>6.34926015361963</v>
      </c>
      <c r="M99" s="3">
        <v>8.6083888218773996</v>
      </c>
      <c r="N99" s="3">
        <v>8.3575072505109809</v>
      </c>
      <c r="O99" s="3">
        <v>22.755424298515099</v>
      </c>
      <c r="P99" s="3">
        <v>10.690277208432301</v>
      </c>
      <c r="Q99" s="3">
        <v>14.231124785113</v>
      </c>
      <c r="R99" s="3">
        <v>15.4875457047327</v>
      </c>
      <c r="S99" s="3">
        <v>4.4963254612407102</v>
      </c>
      <c r="T99" s="3">
        <v>13.477516179339201</v>
      </c>
      <c r="U99" s="3">
        <v>11.5732893083477</v>
      </c>
      <c r="V99" s="3">
        <v>16.6489138691554</v>
      </c>
    </row>
    <row r="100" spans="1:22" x14ac:dyDescent="0.35">
      <c r="A100" s="2">
        <v>44823</v>
      </c>
      <c r="B100" s="3">
        <v>12.0287701283545</v>
      </c>
      <c r="C100" s="3">
        <v>7.6807132106095404</v>
      </c>
      <c r="D100" s="3">
        <v>13.206569767538101</v>
      </c>
      <c r="E100" s="3">
        <v>12.4367270923099</v>
      </c>
      <c r="F100" s="3">
        <v>5.8950747411207196</v>
      </c>
      <c r="G100" s="3">
        <v>7.9136208448625798</v>
      </c>
      <c r="H100" s="3">
        <v>13.318421984946299</v>
      </c>
      <c r="I100" s="3">
        <v>10.76674147994</v>
      </c>
      <c r="J100" s="3">
        <v>11.371650917919601</v>
      </c>
      <c r="K100" s="3">
        <v>8.5677812891988303</v>
      </c>
      <c r="L100" s="3">
        <v>6.5410290631910897</v>
      </c>
      <c r="M100" s="3">
        <v>8.0847968472935001</v>
      </c>
      <c r="N100" s="3">
        <v>6.8262133436038601</v>
      </c>
      <c r="O100" s="3">
        <v>22.296856279258801</v>
      </c>
      <c r="P100" s="3">
        <v>10.364303669356801</v>
      </c>
      <c r="Q100" s="3">
        <v>12.9003225323743</v>
      </c>
      <c r="R100" s="3">
        <v>15.4031765553932</v>
      </c>
      <c r="S100" s="3">
        <v>4.4327871862609802</v>
      </c>
      <c r="T100" s="3">
        <v>13.1940567223928</v>
      </c>
      <c r="U100" s="3">
        <v>11.410353568055401</v>
      </c>
      <c r="V100" s="3">
        <v>14.933725426343999</v>
      </c>
    </row>
    <row r="101" spans="1:22" x14ac:dyDescent="0.35">
      <c r="A101" s="2">
        <v>44853</v>
      </c>
      <c r="B101" s="3">
        <v>11.5114341963624</v>
      </c>
      <c r="C101" s="3">
        <v>7.1860981730100502</v>
      </c>
      <c r="D101" s="3">
        <v>12.3536746522022</v>
      </c>
      <c r="E101" s="3">
        <v>11.846222268524899</v>
      </c>
      <c r="F101" s="3">
        <v>6.4208312389044799</v>
      </c>
      <c r="G101" s="3">
        <v>8.3060083428291307</v>
      </c>
      <c r="H101" s="3">
        <v>12.8955865812281</v>
      </c>
      <c r="I101" s="3">
        <v>10.2670928012435</v>
      </c>
      <c r="J101" s="3">
        <v>11.6061887091257</v>
      </c>
      <c r="K101" s="3">
        <v>9.0057782512369808</v>
      </c>
      <c r="L101" s="3">
        <v>7.1147465040085303</v>
      </c>
      <c r="M101" s="3">
        <v>8.2415461142142004</v>
      </c>
      <c r="N101" s="3">
        <v>6.9439211056805501</v>
      </c>
      <c r="O101" s="3">
        <v>21.7129874846263</v>
      </c>
      <c r="P101" s="3">
        <v>9.1746031904922507</v>
      </c>
      <c r="Q101" s="3">
        <v>12.5245847743409</v>
      </c>
      <c r="R101" s="3">
        <v>15.1233789432764</v>
      </c>
      <c r="S101" s="3">
        <v>4.8943708945262703</v>
      </c>
      <c r="T101" s="3">
        <v>12.439227542426</v>
      </c>
      <c r="U101" s="3">
        <v>10.532048509218599</v>
      </c>
      <c r="V101" s="3">
        <v>15.3873681961937</v>
      </c>
    </row>
    <row r="102" spans="1:22" x14ac:dyDescent="0.35">
      <c r="A102" s="2">
        <v>44883</v>
      </c>
      <c r="B102" s="3">
        <v>11.7880375434481</v>
      </c>
      <c r="C102" s="3">
        <v>6.8863778190902503</v>
      </c>
      <c r="D102" s="3">
        <v>12.602039783652399</v>
      </c>
      <c r="E102" s="3">
        <v>12.032786222966299</v>
      </c>
      <c r="F102" s="3">
        <v>7.2337154507055503</v>
      </c>
      <c r="G102" s="3">
        <v>9.6579685666312791</v>
      </c>
      <c r="H102" s="3">
        <v>13.105139137012999</v>
      </c>
      <c r="I102" s="3">
        <v>12.4636387000893</v>
      </c>
      <c r="J102" s="3">
        <v>12.601092732109899</v>
      </c>
      <c r="K102" s="3">
        <v>10.6760257796294</v>
      </c>
      <c r="L102" s="3">
        <v>6.8236861953422601</v>
      </c>
      <c r="M102" s="3">
        <v>8.9809962892189592</v>
      </c>
      <c r="N102" s="3">
        <v>6.7889567814407004</v>
      </c>
      <c r="O102" s="3">
        <v>22.390110661014699</v>
      </c>
      <c r="P102" s="3">
        <v>10.048126795759799</v>
      </c>
      <c r="Q102" s="3">
        <v>12.639232483208</v>
      </c>
      <c r="R102" s="3">
        <v>15.560087155181799</v>
      </c>
      <c r="S102" s="3">
        <v>5.2411124962734199</v>
      </c>
      <c r="T102" s="3">
        <v>12.3806320164271</v>
      </c>
      <c r="U102" s="3">
        <v>10.2294442593408</v>
      </c>
      <c r="V102" s="3">
        <v>14.9824925080644</v>
      </c>
    </row>
    <row r="103" spans="1:22" x14ac:dyDescent="0.35">
      <c r="A103" s="2">
        <v>44914</v>
      </c>
      <c r="B103" s="3">
        <v>11.883057492392799</v>
      </c>
      <c r="C103" s="3">
        <v>7.2270076453207599</v>
      </c>
      <c r="D103" s="3">
        <v>12.3447410519983</v>
      </c>
      <c r="E103" s="3">
        <v>12.133592881910101</v>
      </c>
      <c r="F103" s="3">
        <v>7.2675092761085898</v>
      </c>
      <c r="G103" s="3">
        <v>9.0272121702823007</v>
      </c>
      <c r="H103" s="3">
        <v>13.4174309771028</v>
      </c>
      <c r="I103" s="3">
        <v>12.738679429851601</v>
      </c>
      <c r="J103" s="3">
        <v>12.077244543074499</v>
      </c>
      <c r="K103" s="3">
        <v>10.8772741940112</v>
      </c>
      <c r="L103" s="3">
        <v>6.6021120635242303</v>
      </c>
      <c r="M103" s="3">
        <v>8.9351928860946401</v>
      </c>
      <c r="N103" s="3">
        <v>6.6884110350224502</v>
      </c>
      <c r="O103" s="3">
        <v>22.515331638389998</v>
      </c>
      <c r="P103" s="3">
        <v>10.6796138207749</v>
      </c>
      <c r="Q103" s="3">
        <v>11.5055313799909</v>
      </c>
      <c r="R103" s="3">
        <v>15.514414552130701</v>
      </c>
      <c r="S103" s="3">
        <v>5.7608137732791498</v>
      </c>
      <c r="T103" s="3">
        <v>12.2130548999748</v>
      </c>
      <c r="U103" s="3">
        <v>11.213734571493299</v>
      </c>
      <c r="V103" s="3">
        <v>13.903292896753999</v>
      </c>
    </row>
    <row r="104" spans="1:22" x14ac:dyDescent="0.35">
      <c r="A104" s="2">
        <v>44945</v>
      </c>
      <c r="B104" s="3">
        <v>12.570008035772901</v>
      </c>
      <c r="C104" s="3">
        <v>7.3102888775923702</v>
      </c>
      <c r="D104" s="3">
        <v>12.130112996010199</v>
      </c>
      <c r="E104" s="3">
        <v>13.442127897644999</v>
      </c>
      <c r="F104" s="3">
        <v>7.9054150192810297</v>
      </c>
      <c r="G104" s="3">
        <v>10.3797175624084</v>
      </c>
      <c r="H104" s="3">
        <v>13.5846991842309</v>
      </c>
      <c r="I104" s="3">
        <v>13.8386881823987</v>
      </c>
      <c r="J104" s="3">
        <v>12.742953565196499</v>
      </c>
      <c r="K104" s="3">
        <v>11.571617767882501</v>
      </c>
      <c r="L104" s="3">
        <v>7.1461454924512902</v>
      </c>
      <c r="M104" s="3">
        <v>9.4305454549184198</v>
      </c>
      <c r="N104" s="3">
        <v>6.3276875494641498</v>
      </c>
      <c r="O104" s="3">
        <v>21.776027689915601</v>
      </c>
      <c r="P104" s="3">
        <v>11.7749658763077</v>
      </c>
      <c r="Q104" s="3">
        <v>11.3601116946174</v>
      </c>
      <c r="R104" s="3">
        <v>16.041501351294102</v>
      </c>
      <c r="S104" s="3">
        <v>5.5972673633474903</v>
      </c>
      <c r="T104" s="3">
        <v>12.1187292820895</v>
      </c>
      <c r="U104" s="3">
        <v>11.6912615629981</v>
      </c>
      <c r="V104" s="3">
        <v>14.825297151132199</v>
      </c>
    </row>
    <row r="105" spans="1:22" x14ac:dyDescent="0.35">
      <c r="A105" s="2">
        <v>44974</v>
      </c>
      <c r="B105" s="3">
        <v>12.193461256231499</v>
      </c>
      <c r="C105" s="3">
        <v>7.8578376410960002</v>
      </c>
      <c r="D105" s="3">
        <v>12.216109575431901</v>
      </c>
      <c r="E105" s="3">
        <v>12.6271238452424</v>
      </c>
      <c r="F105" s="3">
        <v>7.7079340220996801</v>
      </c>
      <c r="G105" s="3">
        <v>9.6074757632454109</v>
      </c>
      <c r="H105" s="3">
        <v>13.336567315933101</v>
      </c>
      <c r="I105" s="3">
        <v>14.311031589972901</v>
      </c>
      <c r="J105" s="3">
        <v>12.835861019057401</v>
      </c>
      <c r="K105" s="3">
        <v>12.826711064185799</v>
      </c>
      <c r="L105" s="3">
        <v>7.09083751478867</v>
      </c>
      <c r="M105" s="3">
        <v>9.0785290050355307</v>
      </c>
      <c r="N105" s="3">
        <v>7.8927025073083401</v>
      </c>
      <c r="O105" s="3">
        <v>20.984624582140999</v>
      </c>
      <c r="P105" s="3">
        <v>11.1839524282433</v>
      </c>
      <c r="Q105" s="3">
        <v>11.1677464538976</v>
      </c>
      <c r="R105" s="3">
        <v>15.894607074645601</v>
      </c>
      <c r="S105" s="3">
        <v>4.9743144196422504</v>
      </c>
      <c r="T105" s="3">
        <v>12.0893469549965</v>
      </c>
      <c r="U105" s="3">
        <v>12.3686394937708</v>
      </c>
      <c r="V105" s="3">
        <v>15.1178990754994</v>
      </c>
    </row>
    <row r="106" spans="1:22" x14ac:dyDescent="0.35">
      <c r="A106" s="2">
        <v>45002</v>
      </c>
      <c r="B106" s="3">
        <v>11.762150238353501</v>
      </c>
      <c r="C106" s="3">
        <v>7.2905105082199899</v>
      </c>
      <c r="D106" s="3">
        <v>11.607479597087</v>
      </c>
      <c r="E106" s="3">
        <v>11.581105243943099</v>
      </c>
      <c r="F106" s="3">
        <v>6.8232643396579604</v>
      </c>
      <c r="G106" s="3">
        <v>9.3728540777119704</v>
      </c>
      <c r="H106" s="3">
        <v>12.9302363982569</v>
      </c>
      <c r="I106" s="3">
        <v>14.613434616395001</v>
      </c>
      <c r="J106" s="3">
        <v>12.2692559633194</v>
      </c>
      <c r="K106" s="3">
        <v>12.959231294678601</v>
      </c>
      <c r="L106" s="3">
        <v>6.4698329411306803</v>
      </c>
      <c r="M106" s="3">
        <v>8.4150821246218008</v>
      </c>
      <c r="N106" s="3">
        <v>6.9385317876190298</v>
      </c>
      <c r="O106" s="3">
        <v>19.8137818377296</v>
      </c>
      <c r="P106" s="3">
        <v>10.497717371420199</v>
      </c>
      <c r="Q106" s="3">
        <v>10.491192537864301</v>
      </c>
      <c r="R106" s="3">
        <v>15.336692263637399</v>
      </c>
      <c r="S106" s="3">
        <v>4.9877306174309401</v>
      </c>
      <c r="T106" s="3">
        <v>10.8822992508198</v>
      </c>
      <c r="U106" s="3">
        <v>12.437179075870301</v>
      </c>
      <c r="V106" s="3">
        <v>13.9277223873893</v>
      </c>
    </row>
    <row r="107" spans="1:22" x14ac:dyDescent="0.35">
      <c r="A107" s="2">
        <v>45035</v>
      </c>
      <c r="B107" s="3">
        <v>12.4363684510254</v>
      </c>
      <c r="C107" s="3">
        <v>7.87912805717834</v>
      </c>
      <c r="D107" s="3">
        <v>12.1616634382958</v>
      </c>
      <c r="E107" s="3">
        <v>11.3090165588176</v>
      </c>
      <c r="F107" s="3">
        <v>7.2464720115645003</v>
      </c>
      <c r="G107" s="3">
        <v>9.9971644332840803</v>
      </c>
      <c r="H107" s="3">
        <v>13.1075547326699</v>
      </c>
      <c r="I107" s="3">
        <v>14.8916448426624</v>
      </c>
      <c r="J107" s="3">
        <v>12.5524377441651</v>
      </c>
      <c r="K107" s="3">
        <v>14.3301047662359</v>
      </c>
      <c r="L107" s="3">
        <v>6.75832314612048</v>
      </c>
      <c r="M107" s="3">
        <v>9.2284132692897298</v>
      </c>
      <c r="N107" s="3">
        <v>7.3182130019090303</v>
      </c>
      <c r="O107" s="3">
        <v>20.133213693769399</v>
      </c>
      <c r="P107" s="3">
        <v>10.913154625826801</v>
      </c>
      <c r="Q107" s="3">
        <v>10.5950540370439</v>
      </c>
      <c r="R107" s="3">
        <v>15.6624460396625</v>
      </c>
      <c r="S107" s="3">
        <v>4.7398501035246596</v>
      </c>
      <c r="T107" s="3">
        <v>11.221981436362499</v>
      </c>
      <c r="U107" s="3">
        <v>13.688296084352601</v>
      </c>
      <c r="V107" s="3">
        <v>16.212473312946301</v>
      </c>
    </row>
    <row r="108" spans="1:22" x14ac:dyDescent="0.35">
      <c r="A108" s="2">
        <v>45065</v>
      </c>
      <c r="B108" s="3">
        <v>11.986062964788299</v>
      </c>
      <c r="C108" s="3">
        <v>8.5556399699721002</v>
      </c>
      <c r="D108" s="3">
        <v>11.925116165225299</v>
      </c>
      <c r="E108" s="3">
        <v>11.3070832293204</v>
      </c>
      <c r="F108" s="3">
        <v>7.4022234847903796</v>
      </c>
      <c r="G108" s="3">
        <v>9.4892652855709692</v>
      </c>
      <c r="H108" s="3">
        <v>13.18821137844</v>
      </c>
      <c r="I108" s="3">
        <v>15.8090338372792</v>
      </c>
      <c r="J108" s="3">
        <v>12.2020856085236</v>
      </c>
      <c r="K108" s="3">
        <v>13.164812770020299</v>
      </c>
      <c r="L108" s="3">
        <v>7.1732438878074296</v>
      </c>
      <c r="M108" s="3">
        <v>8.8547454202581193</v>
      </c>
      <c r="N108" s="3">
        <v>6.9733312109451004</v>
      </c>
      <c r="O108" s="3">
        <v>20.801579872737701</v>
      </c>
      <c r="P108" s="3">
        <v>10.3010379125193</v>
      </c>
      <c r="Q108" s="3">
        <v>11.2376527264479</v>
      </c>
      <c r="R108" s="3">
        <v>15.364338856459099</v>
      </c>
      <c r="S108" s="3">
        <v>4.0523778752582498</v>
      </c>
      <c r="T108" s="3">
        <v>10.9607743010309</v>
      </c>
      <c r="U108" s="3">
        <v>14.349428796175999</v>
      </c>
      <c r="V108" s="3">
        <v>16.704638666847799</v>
      </c>
    </row>
    <row r="109" spans="1:22" x14ac:dyDescent="0.35">
      <c r="A109" s="2">
        <v>45093</v>
      </c>
      <c r="B109" s="3">
        <v>12.230979600109199</v>
      </c>
      <c r="C109" s="3">
        <v>8.4164253980448809</v>
      </c>
      <c r="D109" s="3">
        <v>13.542766967656901</v>
      </c>
      <c r="E109" s="3">
        <v>10.228604085975</v>
      </c>
      <c r="F109" s="3">
        <v>8.1411495137479992</v>
      </c>
      <c r="G109" s="3">
        <v>10.1732104717008</v>
      </c>
      <c r="H109" s="3">
        <v>13.3232780386065</v>
      </c>
      <c r="I109" s="3">
        <v>16.6120077997019</v>
      </c>
      <c r="J109" s="3">
        <v>12.0537663321798</v>
      </c>
      <c r="K109" s="3">
        <v>12.7695424130891</v>
      </c>
      <c r="L109" s="3">
        <v>7.8259885676452097</v>
      </c>
      <c r="M109" s="3">
        <v>9.4315920743331407</v>
      </c>
      <c r="N109" s="3">
        <v>8.0737037574993398</v>
      </c>
      <c r="O109" s="3">
        <v>21.670403059345901</v>
      </c>
      <c r="P109" s="3">
        <v>10.8139061211283</v>
      </c>
      <c r="Q109" s="3">
        <v>11.231356362982</v>
      </c>
      <c r="R109" s="3">
        <v>15.903452020053599</v>
      </c>
      <c r="S109" s="3">
        <v>4.9188861300656903</v>
      </c>
      <c r="T109" s="3">
        <v>11.1444174885227</v>
      </c>
      <c r="U109" s="3">
        <v>14.0920282409924</v>
      </c>
      <c r="V109" s="3">
        <v>17.083568492757198</v>
      </c>
    </row>
    <row r="110" spans="1:22" x14ac:dyDescent="0.35">
      <c r="A110" s="2">
        <v>45126</v>
      </c>
      <c r="B110" s="3">
        <v>11.7780008183866</v>
      </c>
      <c r="C110" s="3">
        <v>9.4184425917537204</v>
      </c>
      <c r="D110" s="3">
        <v>13.554813311405599</v>
      </c>
      <c r="E110" s="3">
        <v>10.214461859587599</v>
      </c>
      <c r="F110" s="3">
        <v>8.7534171231586893</v>
      </c>
      <c r="G110" s="3">
        <v>10.558589475557399</v>
      </c>
      <c r="H110" s="3">
        <v>13.452582535412899</v>
      </c>
      <c r="I110" s="3">
        <v>16.573897871269601</v>
      </c>
      <c r="J110" s="3">
        <v>11.8413715968949</v>
      </c>
      <c r="K110" s="3">
        <v>12.1434886854195</v>
      </c>
      <c r="L110" s="3">
        <v>7.8433952990187699</v>
      </c>
      <c r="M110" s="3">
        <v>9.9577901952148196</v>
      </c>
      <c r="N110" s="3">
        <v>8.2497857188524399</v>
      </c>
      <c r="O110" s="3">
        <v>21.8790658488068</v>
      </c>
      <c r="P110" s="3">
        <v>10.3494677549284</v>
      </c>
      <c r="Q110" s="3">
        <v>11.2556362919579</v>
      </c>
      <c r="R110" s="3">
        <v>15.8935698092988</v>
      </c>
      <c r="S110" s="3">
        <v>5.5206745314555397</v>
      </c>
      <c r="T110" s="3">
        <v>11.3708383244819</v>
      </c>
      <c r="U110" s="3">
        <v>13.6763475503703</v>
      </c>
      <c r="V110" s="3">
        <v>17.542662918702</v>
      </c>
    </row>
    <row r="111" spans="1:22" x14ac:dyDescent="0.35">
      <c r="A111" s="2">
        <v>45156</v>
      </c>
      <c r="B111" s="3">
        <v>11.703297184862899</v>
      </c>
      <c r="C111" s="3">
        <v>9.1137368579515101</v>
      </c>
      <c r="D111" s="3">
        <v>13.4475151650251</v>
      </c>
      <c r="E111" s="3">
        <v>9.5404231192593301</v>
      </c>
      <c r="F111" s="3">
        <v>8.0645984402055593</v>
      </c>
      <c r="G111" s="3">
        <v>10.2466949942113</v>
      </c>
      <c r="H111" s="3">
        <v>13.710048844562101</v>
      </c>
      <c r="I111" s="3">
        <v>15.7492749230553</v>
      </c>
      <c r="J111" s="3">
        <v>11.7339528778987</v>
      </c>
      <c r="K111" s="3">
        <v>11.1256157874178</v>
      </c>
      <c r="L111" s="3">
        <v>7.8295000161500399</v>
      </c>
      <c r="M111" s="3">
        <v>9.3694323905362804</v>
      </c>
      <c r="N111" s="3">
        <v>7.2902107282254898</v>
      </c>
      <c r="O111" s="3">
        <v>20.6705635317035</v>
      </c>
      <c r="P111" s="3">
        <v>10.0235774439307</v>
      </c>
      <c r="Q111" s="3">
        <v>11.3329025335136</v>
      </c>
      <c r="R111" s="3">
        <v>15.7186152904575</v>
      </c>
      <c r="S111" s="3">
        <v>5.9786969579806799</v>
      </c>
      <c r="T111" s="3">
        <v>11.302191797897301</v>
      </c>
      <c r="U111" s="3">
        <v>13.9956499752845</v>
      </c>
      <c r="V111" s="3">
        <v>17.166225087316299</v>
      </c>
    </row>
    <row r="112" spans="1:22" x14ac:dyDescent="0.35">
      <c r="A112" s="2">
        <v>45188</v>
      </c>
      <c r="B112" s="3">
        <v>11.792486717765801</v>
      </c>
      <c r="C112" s="3">
        <v>8.8927633524155407</v>
      </c>
      <c r="D112" s="3">
        <v>13.331694687711799</v>
      </c>
      <c r="E112" s="3">
        <v>9.5038830338302898</v>
      </c>
      <c r="F112" s="3">
        <v>7.97430676348809</v>
      </c>
      <c r="G112" s="3">
        <v>10.1541784198713</v>
      </c>
      <c r="H112" s="3">
        <v>13.8556218746971</v>
      </c>
      <c r="I112" s="3">
        <v>15.6490394359964</v>
      </c>
      <c r="J112" s="3">
        <v>11.601723152642601</v>
      </c>
      <c r="K112" s="3">
        <v>11.1582351697521</v>
      </c>
      <c r="L112" s="3">
        <v>7.82644637003727</v>
      </c>
      <c r="M112" s="3">
        <v>9.4735182519830197</v>
      </c>
      <c r="N112" s="3">
        <v>6.70812413030312</v>
      </c>
      <c r="O112" s="3">
        <v>21.087585293479801</v>
      </c>
      <c r="P112" s="3">
        <v>10.129806970671099</v>
      </c>
      <c r="Q112" s="3">
        <v>10.8898192370552</v>
      </c>
      <c r="R112" s="3">
        <v>15.6452013053411</v>
      </c>
      <c r="S112" s="3">
        <v>5.7032727057829096</v>
      </c>
      <c r="T112" s="3">
        <v>10.9932128320819</v>
      </c>
      <c r="U112" s="3">
        <v>14.5336753271615</v>
      </c>
      <c r="V112" s="3">
        <v>16.259945257906899</v>
      </c>
    </row>
    <row r="113" spans="1:37" x14ac:dyDescent="0.35">
      <c r="A113" s="2">
        <v>45218</v>
      </c>
      <c r="B113" s="3">
        <v>11.0794211909318</v>
      </c>
      <c r="C113" s="3">
        <v>8.5247685471927905</v>
      </c>
      <c r="D113" s="3">
        <v>12.4934248421019</v>
      </c>
      <c r="E113" s="3">
        <v>9.7557682874778902</v>
      </c>
      <c r="F113" s="3">
        <v>8.3209334303201992</v>
      </c>
      <c r="G113" s="3">
        <v>9.5812421457296093</v>
      </c>
      <c r="H113" s="3">
        <v>13.6230502733285</v>
      </c>
      <c r="I113" s="3">
        <v>15.1867294531919</v>
      </c>
      <c r="J113" s="3">
        <v>10.9446683422661</v>
      </c>
      <c r="K113" s="3">
        <v>10.2498545681889</v>
      </c>
      <c r="L113" s="3">
        <v>7.4550472561039198</v>
      </c>
      <c r="M113" s="3">
        <v>9.2407827223028107</v>
      </c>
      <c r="N113" s="3">
        <v>6.5481416499577403</v>
      </c>
      <c r="O113" s="3">
        <v>20.4541443244395</v>
      </c>
      <c r="P113" s="3">
        <v>9.4990329282518307</v>
      </c>
      <c r="Q113" s="3">
        <v>10.3194161312259</v>
      </c>
      <c r="R113" s="3">
        <v>14.5837783751168</v>
      </c>
      <c r="S113" s="3">
        <v>5.4656840125233197</v>
      </c>
      <c r="T113" s="3">
        <v>10.0492419143664</v>
      </c>
      <c r="U113" s="3">
        <v>13.2737580822902</v>
      </c>
      <c r="V113" s="3">
        <v>15.5731634798436</v>
      </c>
    </row>
    <row r="114" spans="1:37" x14ac:dyDescent="0.35">
      <c r="A114" s="2">
        <v>45247</v>
      </c>
      <c r="B114" s="3">
        <v>11.636182721829201</v>
      </c>
      <c r="C114" s="3">
        <v>8.7524614439794899</v>
      </c>
      <c r="D114" s="3">
        <v>12.4619562893904</v>
      </c>
      <c r="E114" s="3">
        <v>9.5861409124399994</v>
      </c>
      <c r="F114" s="3">
        <v>8.3314696394217798</v>
      </c>
      <c r="G114" s="3">
        <v>10.0713458850951</v>
      </c>
      <c r="H114" s="3">
        <v>13.668504231905001</v>
      </c>
      <c r="I114" s="3">
        <v>15.645268361222</v>
      </c>
      <c r="J114" s="3">
        <v>11.932439126372399</v>
      </c>
      <c r="K114" s="3">
        <v>10.201157352758599</v>
      </c>
      <c r="L114" s="3">
        <v>7.9088271345818297</v>
      </c>
      <c r="M114" s="3">
        <v>9.7048092791040101</v>
      </c>
      <c r="N114" s="3">
        <v>6.7990294341301896</v>
      </c>
      <c r="O114" s="3">
        <v>20.384288945907301</v>
      </c>
      <c r="P114" s="3">
        <v>9.7015201982369899</v>
      </c>
      <c r="Q114" s="3">
        <v>10.7528516656098</v>
      </c>
      <c r="R114" s="3">
        <v>14.6288784731208</v>
      </c>
      <c r="S114" s="3">
        <v>4.8595871934126302</v>
      </c>
      <c r="T114" s="3">
        <v>10.3870938685754</v>
      </c>
      <c r="U114" s="3">
        <v>13.919356595758201</v>
      </c>
      <c r="V114" s="3">
        <v>16.4340903259972</v>
      </c>
    </row>
    <row r="115" spans="1:37" x14ac:dyDescent="0.35">
      <c r="A115" s="2">
        <v>45279</v>
      </c>
      <c r="B115" s="3">
        <v>11.125060129200699</v>
      </c>
      <c r="C115" s="3">
        <v>8.0568304039925192</v>
      </c>
      <c r="D115" s="3">
        <v>12.6755195512557</v>
      </c>
      <c r="E115" s="3">
        <v>9.4183683090759693</v>
      </c>
      <c r="F115" s="3">
        <v>8.5673718048418905</v>
      </c>
      <c r="G115" s="3">
        <v>11.833717967274801</v>
      </c>
      <c r="H115" s="3">
        <v>13.768121445599601</v>
      </c>
      <c r="I115" s="3">
        <v>15.923010665520099</v>
      </c>
      <c r="J115" s="3">
        <v>13.0805231324366</v>
      </c>
      <c r="K115" s="3">
        <v>10.199588012526201</v>
      </c>
      <c r="L115" s="3">
        <v>7.9107202196190798</v>
      </c>
      <c r="M115" s="3">
        <v>9.8591146154480498</v>
      </c>
      <c r="N115" s="3">
        <v>6.7029787330899104</v>
      </c>
      <c r="O115" s="3">
        <v>21.854093700482601</v>
      </c>
      <c r="P115" s="3">
        <v>9.1965647007771807</v>
      </c>
      <c r="Q115" s="3">
        <v>10.4699801534643</v>
      </c>
      <c r="R115" s="3">
        <v>14.3793021497889</v>
      </c>
      <c r="S115" s="3">
        <v>4.5909363634672697</v>
      </c>
      <c r="T115" s="3">
        <v>10.297533917072199</v>
      </c>
      <c r="U115" s="3">
        <v>13.9575415274081</v>
      </c>
      <c r="V115" s="3">
        <v>17.5683628866826</v>
      </c>
    </row>
    <row r="116" spans="1:37" x14ac:dyDescent="0.35">
      <c r="A116" s="2">
        <v>45310</v>
      </c>
      <c r="B116" s="3">
        <v>10.733879569968</v>
      </c>
      <c r="C116" s="3">
        <v>7.8120926679913696</v>
      </c>
      <c r="D116" s="3">
        <v>12.8460344835563</v>
      </c>
      <c r="E116" s="3">
        <v>9.3781066265089308</v>
      </c>
      <c r="F116" s="3">
        <v>8.0465520124269592</v>
      </c>
      <c r="G116" s="3">
        <v>11.2169915574699</v>
      </c>
      <c r="H116" s="3">
        <v>13.697258104290899</v>
      </c>
      <c r="I116" s="3">
        <v>15.757880537353</v>
      </c>
      <c r="J116" s="3">
        <v>12.4550431166092</v>
      </c>
      <c r="K116" s="3">
        <v>9.6413616478370496</v>
      </c>
      <c r="L116" s="3">
        <v>7.53885606466147</v>
      </c>
      <c r="M116" s="3">
        <v>9.2998940140481707</v>
      </c>
      <c r="N116" s="3">
        <v>6.7651670129386803</v>
      </c>
      <c r="O116" s="3">
        <v>22.105541587255502</v>
      </c>
      <c r="P116" s="3">
        <v>8.5167929666015691</v>
      </c>
      <c r="Q116" s="3">
        <v>10.7300395607776</v>
      </c>
      <c r="R116" s="3">
        <v>14.2428411770459</v>
      </c>
      <c r="S116" s="3">
        <v>4.6830764360194097</v>
      </c>
      <c r="T116" s="3">
        <v>10.6454796173005</v>
      </c>
      <c r="U116" s="3">
        <v>14.5774674769073</v>
      </c>
      <c r="V116" s="3">
        <v>18.1833663825958</v>
      </c>
    </row>
    <row r="117" spans="1:37" x14ac:dyDescent="0.35">
      <c r="A117" s="2">
        <v>45338</v>
      </c>
      <c r="B117" s="3">
        <v>11.0487646365579</v>
      </c>
      <c r="C117" s="3">
        <v>8.3934458385700896</v>
      </c>
      <c r="D117" s="3">
        <v>13.1863916293467</v>
      </c>
      <c r="E117" s="3">
        <v>9.8503361740692998</v>
      </c>
      <c r="F117" s="3">
        <v>9.0744408842916506</v>
      </c>
      <c r="G117" s="3">
        <v>11.9521815793693</v>
      </c>
      <c r="H117" s="3">
        <v>14.0502627291465</v>
      </c>
      <c r="I117" s="3">
        <v>16.340952139570899</v>
      </c>
      <c r="J117" s="3">
        <v>12.861278374056999</v>
      </c>
      <c r="K117" s="3">
        <v>10.528269323973401</v>
      </c>
      <c r="L117" s="3">
        <v>7.89619022790054</v>
      </c>
      <c r="M117" s="3">
        <v>9.4119156691892005</v>
      </c>
      <c r="N117" s="3">
        <v>7.0129160051630102</v>
      </c>
      <c r="O117" s="3">
        <v>22.611002960383701</v>
      </c>
      <c r="P117" s="3">
        <v>9.0450511304556809</v>
      </c>
      <c r="Q117" s="3">
        <v>10.554757092560401</v>
      </c>
      <c r="R117" s="3">
        <v>14.3601763299654</v>
      </c>
      <c r="S117" s="3">
        <v>5.3434515101719402</v>
      </c>
      <c r="T117" s="3">
        <v>10.2362119898842</v>
      </c>
      <c r="U117" s="3">
        <v>14.7789863201427</v>
      </c>
      <c r="V117" s="3">
        <v>18.841384671794899</v>
      </c>
    </row>
    <row r="118" spans="1:37" x14ac:dyDescent="0.35">
      <c r="A118" s="2">
        <v>45370</v>
      </c>
      <c r="B118" s="3">
        <v>11.811781569105699</v>
      </c>
      <c r="C118" s="3">
        <v>8.0095659938929504</v>
      </c>
      <c r="D118" s="3">
        <v>13.0535571634656</v>
      </c>
      <c r="E118" s="3">
        <v>10.000403137653899</v>
      </c>
      <c r="F118" s="3">
        <v>9.1344556800921293</v>
      </c>
      <c r="G118" s="3">
        <v>12.743364269367101</v>
      </c>
      <c r="H118" s="3">
        <v>13.9805240382676</v>
      </c>
      <c r="I118" s="3">
        <v>17.2756622325469</v>
      </c>
      <c r="J118" s="3">
        <v>12.337022065833001</v>
      </c>
      <c r="K118" s="3">
        <v>10.397028382822199</v>
      </c>
      <c r="L118" s="3">
        <v>7.7471782063723804</v>
      </c>
      <c r="M118" s="3">
        <v>9.1474693816303994</v>
      </c>
      <c r="N118" s="3">
        <v>7.0047470231397604</v>
      </c>
      <c r="O118" s="3">
        <v>21.7834892882444</v>
      </c>
      <c r="P118" s="3">
        <v>9.2372412529678591</v>
      </c>
      <c r="Q118" s="3">
        <v>10.536794125718</v>
      </c>
      <c r="R118" s="3">
        <v>14.3230820239352</v>
      </c>
      <c r="S118" s="3">
        <v>5.0209536597338698</v>
      </c>
      <c r="T118" s="3">
        <v>9.7141064709165192</v>
      </c>
      <c r="U118" s="3">
        <v>16.181012466437998</v>
      </c>
      <c r="V118" s="3">
        <v>18.5128944921045</v>
      </c>
    </row>
    <row r="119" spans="1:37" x14ac:dyDescent="0.35">
      <c r="A119" s="2">
        <v>45401</v>
      </c>
      <c r="B119" s="3">
        <v>12.2048153898096</v>
      </c>
      <c r="C119" s="3">
        <v>7.7847274876838597</v>
      </c>
      <c r="D119" s="3">
        <v>11.9541801425583</v>
      </c>
      <c r="E119" s="3">
        <v>8.8078411772804905</v>
      </c>
      <c r="F119" s="3">
        <v>8.6959461555205202</v>
      </c>
      <c r="G119" s="3">
        <v>12.887104998434801</v>
      </c>
      <c r="H119" s="3">
        <v>13.961168522315999</v>
      </c>
      <c r="I119" s="3">
        <v>16.4181780826184</v>
      </c>
      <c r="J119" s="3">
        <v>12.280708633109899</v>
      </c>
      <c r="K119" s="3">
        <v>9.8792080485380698</v>
      </c>
      <c r="L119" s="3">
        <v>7.5293840596630499</v>
      </c>
      <c r="M119" s="3">
        <v>8.99920564882893</v>
      </c>
      <c r="N119" s="3">
        <v>6.9349859775652503</v>
      </c>
      <c r="O119" s="3">
        <v>22.166350506034401</v>
      </c>
      <c r="P119" s="3">
        <v>9.1499814207002395</v>
      </c>
      <c r="Q119" s="3">
        <v>10.046392605905099</v>
      </c>
      <c r="R119" s="3">
        <v>13.7749145556245</v>
      </c>
      <c r="S119" s="3">
        <v>5.5097842558199996</v>
      </c>
      <c r="T119" s="3">
        <v>9.22405782086431</v>
      </c>
      <c r="U119" s="3">
        <v>14.786456273411799</v>
      </c>
      <c r="V119" s="3">
        <v>17.7765323264586</v>
      </c>
    </row>
    <row r="120" spans="1:37" x14ac:dyDescent="0.35">
      <c r="A120" s="2">
        <v>45429</v>
      </c>
      <c r="B120" s="3">
        <v>12.9994453662387</v>
      </c>
      <c r="C120" s="3">
        <v>9.8649132723014397</v>
      </c>
      <c r="D120" s="3">
        <v>12.1438378187841</v>
      </c>
      <c r="E120" s="3">
        <v>8.8857602207273008</v>
      </c>
      <c r="F120" s="3">
        <v>9.0531699942384201</v>
      </c>
      <c r="G120" s="3">
        <v>13.892983732327799</v>
      </c>
      <c r="H120" s="3">
        <v>14.447989550266501</v>
      </c>
      <c r="I120" s="3">
        <v>17.7739247977898</v>
      </c>
      <c r="J120" s="3">
        <v>12.632668613216699</v>
      </c>
      <c r="K120" s="3">
        <v>9.9565432902248894</v>
      </c>
      <c r="L120" s="3">
        <v>7.53604579178434</v>
      </c>
      <c r="M120" s="3">
        <v>9.9112078906457199</v>
      </c>
      <c r="N120" s="3">
        <v>7.3064296505523103</v>
      </c>
      <c r="O120" s="3">
        <v>22.5916404572232</v>
      </c>
      <c r="P120" s="3">
        <v>10.871003168365601</v>
      </c>
      <c r="Q120" s="3">
        <v>9.9346684667583798</v>
      </c>
      <c r="R120" s="3">
        <v>14.335719159696399</v>
      </c>
      <c r="S120" s="3">
        <v>5.92641048108361</v>
      </c>
      <c r="T120" s="3">
        <v>8.6107828665678507</v>
      </c>
      <c r="U120" s="3">
        <v>16.137456774019601</v>
      </c>
      <c r="V120" s="3">
        <v>17.169324162679398</v>
      </c>
    </row>
    <row r="121" spans="1:37" x14ac:dyDescent="0.35">
      <c r="A121" s="2">
        <v>45461</v>
      </c>
      <c r="B121" s="3">
        <v>12.3623374186182</v>
      </c>
      <c r="C121" s="3">
        <v>7.9019947230559398</v>
      </c>
      <c r="D121" s="3">
        <v>11.542124683915899</v>
      </c>
      <c r="E121" s="3">
        <v>8.7494936987800909</v>
      </c>
      <c r="F121" s="3">
        <v>8.8729562139946605</v>
      </c>
      <c r="G121" s="3">
        <v>11.5805450345492</v>
      </c>
      <c r="H121" s="3">
        <v>14.0755556695749</v>
      </c>
      <c r="I121" s="3">
        <v>18.287477331180099</v>
      </c>
      <c r="J121" s="3">
        <v>11.4483570234512</v>
      </c>
      <c r="K121" s="3">
        <v>9.7688887747683903</v>
      </c>
      <c r="L121" s="3">
        <v>6.8848279656614704</v>
      </c>
      <c r="M121" s="3">
        <v>9.9956000272025491</v>
      </c>
      <c r="N121" s="3">
        <v>6.9488591996202898</v>
      </c>
      <c r="O121" s="3">
        <v>23.521260166287199</v>
      </c>
      <c r="P121" s="3">
        <v>9.7971954141634292</v>
      </c>
      <c r="Q121" s="3">
        <v>9.8544277582963193</v>
      </c>
      <c r="R121" s="3">
        <v>13.392496916813499</v>
      </c>
      <c r="S121" s="3">
        <v>5.8544882840452104</v>
      </c>
      <c r="T121" s="3">
        <v>8.3940237763622001</v>
      </c>
      <c r="U121" s="3">
        <v>15.385538674043399</v>
      </c>
      <c r="V121" s="3">
        <v>16.422896649915302</v>
      </c>
    </row>
    <row r="122" spans="1:37" x14ac:dyDescent="0.35">
      <c r="A122" s="2">
        <v>45491</v>
      </c>
      <c r="B122" s="3">
        <v>11.9711810989523</v>
      </c>
      <c r="C122" s="3">
        <v>7.8413961510418497</v>
      </c>
      <c r="D122" s="3">
        <v>12.307339714355701</v>
      </c>
      <c r="E122" s="3">
        <v>9.4714454263320302</v>
      </c>
      <c r="F122" s="3">
        <v>8.6990798013894608</v>
      </c>
      <c r="G122" s="3">
        <v>11.533968512352599</v>
      </c>
      <c r="H122" s="3">
        <v>14.3076503978871</v>
      </c>
      <c r="I122" s="3">
        <v>18.248652021321099</v>
      </c>
      <c r="J122" s="3">
        <v>11.481790582139899</v>
      </c>
      <c r="K122" s="3">
        <v>9.5626807818099007</v>
      </c>
      <c r="L122" s="3">
        <v>7.3603301184927297</v>
      </c>
      <c r="M122" s="3">
        <v>9.8134146885948805</v>
      </c>
      <c r="N122" s="3">
        <v>7.1803885922018003</v>
      </c>
      <c r="O122" s="3">
        <v>24.190958160182301</v>
      </c>
      <c r="P122" s="3">
        <v>9.49651424379317</v>
      </c>
      <c r="Q122" s="3">
        <v>10.405808356464499</v>
      </c>
      <c r="R122" s="3">
        <v>13.519026165813299</v>
      </c>
      <c r="S122" s="3">
        <v>6.38842321139958</v>
      </c>
      <c r="T122" s="3">
        <v>8.8135478095939401</v>
      </c>
      <c r="U122" s="3">
        <v>14.133876787517099</v>
      </c>
      <c r="V122" s="3">
        <v>17.2921826025323</v>
      </c>
    </row>
    <row r="124" spans="1:37" x14ac:dyDescent="0.35">
      <c r="A124" s="2" t="s">
        <v>91</v>
      </c>
      <c r="B124" s="3" cm="1">
        <f t="array" ref="B124">MIN(_xlfn._xlws.FILTER(B1:B122, ISNUMBER(B1:B122)))</f>
        <v>9.6240315047728906</v>
      </c>
      <c r="C124" s="3" cm="1">
        <f t="array" ref="C124">MIN(_xlfn._xlws.FILTER(C1:C122, ISNUMBER(C1:C122)))</f>
        <v>6.4629719238261902</v>
      </c>
      <c r="D124" s="3" cm="1">
        <f t="array" ref="D124">MIN(_xlfn._xlws.FILTER(D1:D122, ISNUMBER(D1:D122)))</f>
        <v>9.3304101843945908</v>
      </c>
      <c r="E124" s="3" cm="1">
        <f t="array" ref="E124">MIN(_xlfn._xlws.FILTER(E1:E122, ISNUMBER(E1:E122)))</f>
        <v>8.4790164124082903</v>
      </c>
      <c r="F124" s="3" cm="1">
        <f t="array" ref="F124">MIN(_xlfn._xlws.FILTER(F1:F122, ISNUMBER(F1:F122)))</f>
        <v>5.8950747411207196</v>
      </c>
      <c r="G124" s="3" cm="1">
        <f t="array" ref="G124">MIN(_xlfn._xlws.FILTER(G1:G122, ISNUMBER(G1:G122)))</f>
        <v>7.0819491829869099</v>
      </c>
      <c r="H124" s="3" cm="1">
        <f t="array" ref="H124">MIN(_xlfn._xlws.FILTER(H1:H122, ISNUMBER(H1:H122)))</f>
        <v>12.8955865812281</v>
      </c>
      <c r="I124" s="3" cm="1">
        <f t="array" ref="I124">MIN(_xlfn._xlws.FILTER(I1:I122, ISNUMBER(I1:I122)))</f>
        <v>10.263563413055801</v>
      </c>
      <c r="J124" s="3" cm="1">
        <f t="array" ref="J124">MIN(_xlfn._xlws.FILTER(J1:J122, ISNUMBER(J1:J122)))</f>
        <v>10.6931542785745</v>
      </c>
      <c r="K124" s="3" cm="1">
        <f t="array" ref="K124">MIN(_xlfn._xlws.FILTER(K1:K122, ISNUMBER(K1:K122)))</f>
        <v>7.6336575476115698</v>
      </c>
      <c r="L124" s="3" cm="1">
        <f t="array" ref="L124">MIN(_xlfn._xlws.FILTER(L1:L122, ISNUMBER(L1:L122)))</f>
        <v>5.9712201638034301</v>
      </c>
      <c r="M124" s="3" cm="1">
        <f t="array" ref="M124">MIN(_xlfn._xlws.FILTER(M1:M122, ISNUMBER(M1:M122)))</f>
        <v>7.2897827984258603</v>
      </c>
      <c r="N124" s="3" cm="1">
        <f t="array" ref="N124">MIN(_xlfn._xlws.FILTER(N1:N122, ISNUMBER(N1:N122)))</f>
        <v>3.9298273576477798</v>
      </c>
      <c r="O124" s="3" cm="1">
        <f t="array" ref="O124">MIN(_xlfn._xlws.FILTER(O1:O122, ISNUMBER(O1:O122)))</f>
        <v>13.2830046309489</v>
      </c>
      <c r="P124" s="3" cm="1">
        <f t="array" ref="P124">MIN(_xlfn._xlws.FILTER(P1:P122, ISNUMBER(P1:P122)))</f>
        <v>8.4103051799533706</v>
      </c>
      <c r="Q124" s="3" cm="1">
        <f t="array" ref="Q124">MIN(_xlfn._xlws.FILTER(Q1:Q122, ISNUMBER(Q1:Q122)))</f>
        <v>9.8544277582963193</v>
      </c>
      <c r="R124" s="3" cm="1">
        <f t="array" ref="R124">MIN(_xlfn._xlws.FILTER(R1:R122, ISNUMBER(R1:R122)))</f>
        <v>11.5943334691442</v>
      </c>
      <c r="S124" s="3" cm="1">
        <f t="array" ref="S124">MIN(_xlfn._xlws.FILTER(S1:S122, ISNUMBER(S1:S122)))</f>
        <v>4.0523778752582498</v>
      </c>
      <c r="T124" s="3" cm="1">
        <f t="array" ref="T124">MIN(_xlfn._xlws.FILTER(T1:T122, ISNUMBER(T1:T122)))</f>
        <v>8.3940237763622001</v>
      </c>
      <c r="U124" s="3" cm="1">
        <f t="array" ref="U124">MIN(_xlfn._xlws.FILTER(U1:U122, ISNUMBER(U1:U122)))</f>
        <v>10.2294442593408</v>
      </c>
      <c r="V124" s="3" cm="1">
        <f t="array" ref="V124">MIN(_xlfn._xlws.FILTER(V1:V122, ISNUMBER(V1:V122)))</f>
        <v>11.1813611608726</v>
      </c>
    </row>
    <row r="125" spans="1:37" x14ac:dyDescent="0.35">
      <c r="A125" s="2" t="s">
        <v>92</v>
      </c>
      <c r="B125" s="3" cm="1">
        <f t="array" ref="B125">MAX(_xlfn._xlws.FILTER(B1:B122, ISNUMBER(B1:B122)))</f>
        <v>18.812004866741901</v>
      </c>
      <c r="C125" s="3" cm="1">
        <f t="array" ref="C125">MAX(_xlfn._xlws.FILTER(C1:C122, ISNUMBER(C1:C122)))</f>
        <v>18.902833199122799</v>
      </c>
      <c r="D125" s="3" cm="1">
        <f t="array" ref="D125">MAX(_xlfn._xlws.FILTER(D1:D122, ISNUMBER(D1:D122)))</f>
        <v>18.580322179188499</v>
      </c>
      <c r="E125" s="3" cm="1">
        <f t="array" ref="E125">MAX(_xlfn._xlws.FILTER(E1:E122, ISNUMBER(E1:E122)))</f>
        <v>18.314946143807401</v>
      </c>
      <c r="F125" s="3" cm="1">
        <f t="array" ref="F125">MAX(_xlfn._xlws.FILTER(F1:F122, ISNUMBER(F1:F122)))</f>
        <v>14.6864361891926</v>
      </c>
      <c r="G125" s="3" cm="1">
        <f t="array" ref="G125">MAX(_xlfn._xlws.FILTER(G1:G122, ISNUMBER(G1:G122)))</f>
        <v>22.881854026424001</v>
      </c>
      <c r="H125" s="3" cm="1">
        <f t="array" ref="H125">MAX(_xlfn._xlws.FILTER(H1:H122, ISNUMBER(H1:H122)))</f>
        <v>19.679463158299001</v>
      </c>
      <c r="I125" s="3" cm="1">
        <f t="array" ref="I125">MAX(_xlfn._xlws.FILTER(I1:I122, ISNUMBER(I1:I122)))</f>
        <v>18.287477331180099</v>
      </c>
      <c r="J125" s="3" cm="1">
        <f t="array" ref="J125">MAX(_xlfn._xlws.FILTER(J1:J122, ISNUMBER(J1:J122)))</f>
        <v>19.646929434541399</v>
      </c>
      <c r="K125" s="3" cm="1">
        <f t="array" ref="K125">MAX(_xlfn._xlws.FILTER(K1:K122, ISNUMBER(K1:K122)))</f>
        <v>14.443454671198101</v>
      </c>
      <c r="L125" s="3" cm="1">
        <f t="array" ref="L125">MAX(_xlfn._xlws.FILTER(L1:L122, ISNUMBER(L1:L122)))</f>
        <v>27.028995111362899</v>
      </c>
      <c r="M125" s="3" cm="1">
        <f t="array" ref="M125">MAX(_xlfn._xlws.FILTER(M1:M122, ISNUMBER(M1:M122)))</f>
        <v>17.5328329731406</v>
      </c>
      <c r="N125" s="3" cm="1">
        <f t="array" ref="N125">MAX(_xlfn._xlws.FILTER(N1:N122, ISNUMBER(N1:N122)))</f>
        <v>14.9635636944772</v>
      </c>
      <c r="O125" s="3" cm="1">
        <f t="array" ref="O125">MAX(_xlfn._xlws.FILTER(O1:O122, ISNUMBER(O1:O122)))</f>
        <v>24.9296855097841</v>
      </c>
      <c r="P125" s="3" cm="1">
        <f t="array" ref="P125">MAX(_xlfn._xlws.FILTER(P1:P122, ISNUMBER(P1:P122)))</f>
        <v>18.644319226955499</v>
      </c>
      <c r="Q125" s="3" cm="1">
        <f t="array" ref="Q125">MAX(_xlfn._xlws.FILTER(Q1:Q122, ISNUMBER(Q1:Q122)))</f>
        <v>16.1316344992639</v>
      </c>
      <c r="R125" s="3" cm="1">
        <f t="array" ref="R125">MAX(_xlfn._xlws.FILTER(R1:R122, ISNUMBER(R1:R122)))</f>
        <v>20.070982204676501</v>
      </c>
      <c r="S125" s="3" cm="1">
        <f t="array" ref="S125">MAX(_xlfn._xlws.FILTER(S1:S122, ISNUMBER(S1:S122)))</f>
        <v>10.8905495978136</v>
      </c>
      <c r="T125" s="3" cm="1">
        <f t="array" ref="T125">MAX(_xlfn._xlws.FILTER(T1:T122, ISNUMBER(T1:T122)))</f>
        <v>17.546694008515001</v>
      </c>
      <c r="U125" s="3" cm="1">
        <f t="array" ref="U125">MAX(_xlfn._xlws.FILTER(U1:U122, ISNUMBER(U1:U122)))</f>
        <v>21.518020901823199</v>
      </c>
      <c r="V125" s="3" cm="1">
        <f t="array" ref="V125">MAX(_xlfn._xlws.FILTER(V1:V122, ISNUMBER(V1:V122)))</f>
        <v>21.778468516307299</v>
      </c>
    </row>
    <row r="127" spans="1:37" x14ac:dyDescent="0.35">
      <c r="A127" s="2" t="s">
        <v>93</v>
      </c>
      <c r="B127" s="9" cm="1">
        <f t="array" ref="B127">_xlfn.PERCENTRANK.EXC(_xlfn._xlws.FILTER(B1:B122, ISNUMBER(B1:B122)),B122)</f>
        <v>0.32600000000000001</v>
      </c>
      <c r="C127" s="9" cm="1">
        <f t="array" ref="C127">_xlfn.PERCENTRANK.EXC(_xlfn._xlws.FILTER(C1:C122, ISNUMBER(C1:C122)),C122)</f>
        <v>9.8000000000000004E-2</v>
      </c>
      <c r="D127" s="9" cm="1">
        <f t="array" ref="D127">_xlfn.PERCENTRANK.EXC(_xlfn._xlws.FILTER(D1:D122, ISNUMBER(D1:D122)),D122)</f>
        <v>9.8000000000000004E-2</v>
      </c>
      <c r="E127" s="9" cm="1">
        <f t="array" ref="E127">_xlfn.PERCENTRANK.EXC(_xlfn._xlws.FILTER(E1:E122, ISNUMBER(E1:E122)),E122)</f>
        <v>5.7000000000000002E-2</v>
      </c>
      <c r="F127" s="9" cm="1">
        <f t="array" ref="F127">_xlfn.PERCENTRANK.EXC(_xlfn._xlws.FILTER(F1:F122, ISNUMBER(F1:F122)),F122)</f>
        <v>0.19600000000000001</v>
      </c>
      <c r="G127" s="9" cm="1">
        <f t="array" ref="G127">_xlfn.PERCENTRANK.EXC(_xlfn._xlws.FILTER(G1:G122, ISNUMBER(G1:G122)),G122)</f>
        <v>0.34399999999999997</v>
      </c>
      <c r="H127" s="9" cm="1">
        <f t="array" ref="H127">_xlfn.PERCENTRANK.EXC(_xlfn._xlws.FILTER(H1:H122, ISNUMBER(H1:H122)),H122)</f>
        <v>0.28599999999999998</v>
      </c>
      <c r="I127" s="9" cm="1">
        <f t="array" ref="I127">_xlfn.PERCENTRANK.EXC(_xlfn._xlws.FILTER(I1:I122, ISNUMBER(I1:I122)),I122)</f>
        <v>0.98299999999999998</v>
      </c>
      <c r="J127" s="9" cm="1">
        <f t="array" ref="J127">_xlfn.PERCENTRANK.EXC(_xlfn._xlws.FILTER(J1:J122, ISNUMBER(J1:J122)),J122)</f>
        <v>4.8000000000000001E-2</v>
      </c>
      <c r="K127" s="9" cm="1">
        <f t="array" ref="K127">_xlfn.PERCENTRANK.EXC(_xlfn._xlws.FILTER(K1:K122, ISNUMBER(K1:K122)),K122)</f>
        <v>0.30299999999999999</v>
      </c>
      <c r="L127" s="9" cm="1">
        <f t="array" ref="L127">_xlfn.PERCENTRANK.EXC(_xlfn._xlws.FILTER(L1:L122, ISNUMBER(L1:L122)),L122)</f>
        <v>0.13900000000000001</v>
      </c>
      <c r="M127" s="9" cm="1">
        <f t="array" ref="M127">_xlfn.PERCENTRANK.EXC(_xlfn._xlws.FILTER(M1:M122, ISNUMBER(M1:M122)),M122)</f>
        <v>0.27800000000000002</v>
      </c>
      <c r="N127" s="9" cm="1">
        <f t="array" ref="N127">_xlfn.PERCENTRANK.EXC(_xlfn._xlws.FILTER(N1:N122, ISNUMBER(N1:N122)),N122)</f>
        <v>0.27</v>
      </c>
      <c r="O127" s="9" cm="1">
        <f t="array" ref="O127">_xlfn.PERCENTRANK.EXC(_xlfn._xlws.FILTER(O1:O122, ISNUMBER(O1:O122)),O122)</f>
        <v>0.95899999999999996</v>
      </c>
      <c r="P127" s="9" cm="1">
        <f t="array" ref="P127">_xlfn.PERCENTRANK.EXC(_xlfn._xlws.FILTER(P1:P122, ISNUMBER(P1:P122)),P122)</f>
        <v>0.155</v>
      </c>
      <c r="Q127" s="9" cm="1">
        <f t="array" ref="Q127">_xlfn.PERCENTRANK.EXC(_xlfn._xlws.FILTER(Q1:Q122, ISNUMBER(Q1:Q122)),Q122)</f>
        <v>5.7000000000000002E-2</v>
      </c>
      <c r="R127" s="9" cm="1">
        <f t="array" ref="R127">_xlfn.PERCENTRANK.EXC(_xlfn._xlws.FILTER(R1:R122, ISNUMBER(R1:R122)),R122)</f>
        <v>0.04</v>
      </c>
      <c r="S127" s="9" cm="1">
        <f t="array" ref="S127">_xlfn.PERCENTRANK.EXC(_xlfn._xlws.FILTER(S1:S122, ISNUMBER(S1:S122)),S122)</f>
        <v>0.45</v>
      </c>
      <c r="T127" s="9" cm="1">
        <f t="array" ref="T127">_xlfn.PERCENTRANK.EXC(_xlfn._xlws.FILTER(T1:T122, ISNUMBER(T1:T122)),T122)</f>
        <v>2.4E-2</v>
      </c>
      <c r="U127" s="9" cm="1">
        <f t="array" ref="U127">_xlfn.PERCENTRANK.EXC(_xlfn._xlws.FILTER(U1:U122, ISNUMBER(U1:U122)),U122)</f>
        <v>0.442</v>
      </c>
      <c r="V127" s="9" cm="1">
        <f t="array" ref="V127">_xlfn.PERCENTRANK.EXC(_xlfn._xlws.FILTER(V1:V122, ISNUMBER(V1:V122)),V122)</f>
        <v>0.7</v>
      </c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K128"/>
  <sheetViews>
    <sheetView topLeftCell="P1" workbookViewId="0">
      <selection activeCell="W1" sqref="W1:AE1048576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22" x14ac:dyDescent="0.35">
      <c r="B1" s="3" t="s">
        <v>432</v>
      </c>
      <c r="C1" s="3" t="s">
        <v>27</v>
      </c>
      <c r="D1" s="3" t="s">
        <v>35</v>
      </c>
      <c r="E1" s="3" t="s">
        <v>30</v>
      </c>
      <c r="F1" s="3" t="s">
        <v>23</v>
      </c>
      <c r="G1" s="3" t="s">
        <v>29</v>
      </c>
      <c r="H1" s="3" t="s">
        <v>33</v>
      </c>
      <c r="I1" s="3" t="s">
        <v>24</v>
      </c>
      <c r="J1" s="3" t="s">
        <v>7</v>
      </c>
      <c r="K1" s="3" t="s">
        <v>21</v>
      </c>
      <c r="L1" s="3" t="s">
        <v>12</v>
      </c>
      <c r="M1" s="3" t="s">
        <v>22</v>
      </c>
      <c r="N1" s="3" t="s">
        <v>28</v>
      </c>
      <c r="O1" s="3" t="s">
        <v>32</v>
      </c>
      <c r="P1" s="3" t="s">
        <v>26</v>
      </c>
      <c r="Q1" s="3" t="s">
        <v>31</v>
      </c>
      <c r="R1" s="3" t="s">
        <v>757</v>
      </c>
      <c r="S1" s="3" t="s">
        <v>25</v>
      </c>
      <c r="T1" s="3" t="s">
        <v>34</v>
      </c>
      <c r="U1" s="3" t="s">
        <v>37</v>
      </c>
      <c r="V1" s="3" t="s">
        <v>36</v>
      </c>
    </row>
    <row r="2" spans="1:22" x14ac:dyDescent="0.35">
      <c r="A2" s="2" cm="1">
        <f t="array" ref="A2:A122">_xll.FDS(C1,"JULIAN(FMA_DIV_YLD(NTMA,-10AY,0,AM,""PORTAGG"",""MEANR"").dates)")</f>
        <v>41838</v>
      </c>
      <c r="B2" s="3" t="e" cm="1">
        <f t="array" ref="B2:B122">_xll.FDS(B1,"FMA_DIV_YLD(NTMA,-10AY,0,AM,""PORTAGG"",""MEANR"")")</f>
        <v>#N/A</v>
      </c>
      <c r="C2" s="3" cm="1">
        <f t="array" ref="C2:C122">_xll.FDS(C1,"FMA_DIV_YLD(NTMA,-10AY,0,AM,""PORTAGG"",""MEANR"")")</f>
        <v>3.1041175394385299</v>
      </c>
      <c r="D2" s="3" cm="1">
        <f t="array" ref="D2:D122">_xll.FDS(D1,"FMA_DIV_YLD(NTMA,-10AY,0,AM,""PORTAGG"",""MEANR"")")</f>
        <v>2.52984351128715</v>
      </c>
      <c r="E2" s="3" cm="1">
        <f t="array" ref="E2:E122">_xll.FDS(E1,"FMA_DIV_YLD(NTMA,-10AY,0,AM,""PORTAGG"",""MEANR"")")</f>
        <v>2.0811316517159901</v>
      </c>
      <c r="F2" s="3" cm="1">
        <f t="array" ref="F2:F122">_xll.FDS(F1,"FMA_DIV_YLD(NTMA,-10AY,0,AM,""PORTAGG"",""MEANR"")")</f>
        <v>4.1085637119195004</v>
      </c>
      <c r="G2" s="3" cm="1">
        <f t="array" ref="G2:G122">_xll.FDS(G1,"FMA_DIV_YLD(NTMA,-10AY,0,AM,""PORTAGG"",""MEANR"")")</f>
        <v>2.2353025953819499</v>
      </c>
      <c r="H2" s="3" cm="1">
        <f t="array" ref="H2:H122">_xll.FDS(H1,"FMA_DIV_YLD(NTMA,-10AY,0,AM,""PORTAGG"",""MEANR"")")</f>
        <v>3.1633567624087799</v>
      </c>
      <c r="I2" s="3" cm="1">
        <f t="array" ref="I2:I122">_xll.FDS(I1,"FMA_DIV_YLD(NTMA,-10AY,0,AM,""PORTAGG"",""MEANR"")")</f>
        <v>3.15631724494546</v>
      </c>
      <c r="J2" s="3" t="e" cm="1">
        <f t="array" ref="J2:J122">_xll.FDS(J1,"FMA_DIV_YLD(NTMA,-10AY,0,AM,""PORTAGG"",""MEANR"")")</f>
        <v>#N/A</v>
      </c>
      <c r="K2" s="3" cm="1">
        <f t="array" ref="K2:K122">_xll.FDS(K1,"FMA_DIV_YLD(NTMA,-10AY,0,AM,""PORTAGG"",""MEANR"")")</f>
        <v>1.2843169844696301</v>
      </c>
      <c r="L2" s="3" cm="1">
        <f t="array" ref="L2:L122">_xll.FDS(L1,"FMA_DIV_YLD(NTMA,-10AY,0,AM,""PORTAGG"",""MEANR"")")</f>
        <v>3.7721534909077001</v>
      </c>
      <c r="M2" s="3" cm="1">
        <f t="array" ref="M2:M122">_xll.FDS(M1,"FMA_DIV_YLD(NTMA,-10AY,0,AM,""PORTAGG"",""MEANR"")")</f>
        <v>3.2523965896896998</v>
      </c>
      <c r="N2" s="3" cm="1">
        <f t="array" ref="N2:N122">_xll.FDS(N1,"FMA_DIV_YLD(NTMA,-10AY,0,AM,""PORTAGG"",""MEANR"")")</f>
        <v>2.08721824855684</v>
      </c>
      <c r="O2" s="3" cm="1">
        <f t="array" ref="O2:O122">_xll.FDS(O1,"FMA_DIV_YLD(NTMA,-10AY,0,AM,""PORTAGG"",""MEANR"")")</f>
        <v>1.58928133863583</v>
      </c>
      <c r="P2" s="3" cm="1">
        <f t="array" ref="P2:P122">_xll.FDS(P1,"FMA_DIV_YLD(NTMA,-10AY,0,AM,""PORTAGG"",""MEANR"")")</f>
        <v>3.6165379749234301</v>
      </c>
      <c r="Q2" s="3" cm="1">
        <f t="array" ref="Q2:Q122">_xll.FDS(Q1,"FMA_DIV_YLD(NTMA,-10AY,0,AM,""PORTAGG"",""MEANR"")")</f>
        <v>3.9419261004038799</v>
      </c>
      <c r="R2" s="3" cm="1">
        <f t="array" ref="R2:R122">_xll.FDS(R1,"FMA_DIV_YLD(NTMA,-10AY,0,AM,""PORTAGG"",""MEANR"")")</f>
        <v>5.5387451472003004</v>
      </c>
      <c r="S2" s="3" cm="1">
        <f t="array" ref="S2:S122">_xll.FDS(S1,"FMA_DIV_YLD(NTMA,-10AY,0,AM,""PORTAGG"",""MEANR"")")</f>
        <v>2.6956427860356</v>
      </c>
      <c r="T2" s="3" cm="1">
        <f t="array" ref="T2:T122">_xll.FDS(T1,"FMA_DIV_YLD(NTMA,-10AY,0,AM,""PORTAGG"",""MEANR"")")</f>
        <v>2.5650205002804198</v>
      </c>
      <c r="U2" s="3" cm="1">
        <f t="array" ref="U2:U122">_xll.FDS(U1,"FMA_DIV_YLD(NTMA,-10AY,0,AM,""PORTAGG"",""MEANR"")")</f>
        <v>3.47747513251527</v>
      </c>
      <c r="V2" s="3" t="e" cm="1">
        <f t="array" ref="V2:V122">_xll.FDS(V1,"FMA_DIV_YLD(NTMA,-10AY,0,AM,""PORTAGG"",""MEANR"")")</f>
        <v>#N/A</v>
      </c>
    </row>
    <row r="3" spans="1:22" x14ac:dyDescent="0.35">
      <c r="A3" s="2">
        <v>41870</v>
      </c>
      <c r="B3" s="3" t="e">
        <v>#N/A</v>
      </c>
      <c r="C3" s="3">
        <v>3.09434684583153</v>
      </c>
      <c r="D3" s="3">
        <v>2.5054449866222401</v>
      </c>
      <c r="E3" s="3">
        <v>2.02267842349967</v>
      </c>
      <c r="F3" s="3">
        <v>4.0879496426063202</v>
      </c>
      <c r="G3" s="3">
        <v>2.1606404576938898</v>
      </c>
      <c r="H3" s="3">
        <v>3.14242652822371</v>
      </c>
      <c r="I3" s="3">
        <v>3.26401120267627</v>
      </c>
      <c r="J3" s="3" t="e">
        <v>#N/A</v>
      </c>
      <c r="K3" s="3">
        <v>1.27694809623992</v>
      </c>
      <c r="L3" s="3">
        <v>3.6724969616498</v>
      </c>
      <c r="M3" s="3">
        <v>3.2493498833298902</v>
      </c>
      <c r="N3" s="3">
        <v>2.1184409120353802</v>
      </c>
      <c r="O3" s="3">
        <v>1.57613573444693</v>
      </c>
      <c r="P3" s="3">
        <v>3.4627157563870301</v>
      </c>
      <c r="Q3" s="3">
        <v>3.9340949130238299</v>
      </c>
      <c r="R3" s="3">
        <v>3.44124922735161</v>
      </c>
      <c r="S3" s="3">
        <v>3.0733492715351698</v>
      </c>
      <c r="T3" s="3">
        <v>2.5906446028779699</v>
      </c>
      <c r="U3" s="3">
        <v>3.39816640476386</v>
      </c>
      <c r="V3" s="3" t="e">
        <v>#N/A</v>
      </c>
    </row>
    <row r="4" spans="1:22" x14ac:dyDescent="0.35">
      <c r="A4" s="2">
        <v>41901</v>
      </c>
      <c r="B4" s="3" t="e">
        <v>#N/A</v>
      </c>
      <c r="C4" s="3">
        <v>3.0228144519226801</v>
      </c>
      <c r="D4" s="3">
        <v>2.4886222520268899</v>
      </c>
      <c r="E4" s="3">
        <v>1.9395206321348399</v>
      </c>
      <c r="F4" s="3">
        <v>4.0680230883807003</v>
      </c>
      <c r="G4" s="3">
        <v>2.1475403949385399</v>
      </c>
      <c r="H4" s="3">
        <v>3.1976177343660899</v>
      </c>
      <c r="I4" s="3">
        <v>3.32735343833486</v>
      </c>
      <c r="J4" s="3" t="e">
        <v>#N/A</v>
      </c>
      <c r="K4" s="3">
        <v>1.3185212762059599</v>
      </c>
      <c r="L4" s="3">
        <v>3.7306347221961298</v>
      </c>
      <c r="M4" s="3">
        <v>3.33359296242699</v>
      </c>
      <c r="N4" s="3">
        <v>2.1735189868842202</v>
      </c>
      <c r="O4" s="3">
        <v>1.5452289353031201</v>
      </c>
      <c r="P4" s="3">
        <v>3.5879714544701402</v>
      </c>
      <c r="Q4" s="3">
        <v>3.8690322873409602</v>
      </c>
      <c r="R4" s="3">
        <v>3.3440393310915799</v>
      </c>
      <c r="S4" s="3">
        <v>3.1233403216829401</v>
      </c>
      <c r="T4" s="3">
        <v>2.4585881703297598</v>
      </c>
      <c r="U4" s="3">
        <v>3.4026018283225898</v>
      </c>
      <c r="V4" s="3" t="e">
        <v>#N/A</v>
      </c>
    </row>
    <row r="5" spans="1:22" x14ac:dyDescent="0.35">
      <c r="A5" s="2">
        <v>41929</v>
      </c>
      <c r="B5" s="3" t="e">
        <v>#N/A</v>
      </c>
      <c r="C5" s="3">
        <v>3.2811253944899099</v>
      </c>
      <c r="D5" s="3">
        <v>2.60702712127026</v>
      </c>
      <c r="E5" s="3">
        <v>2.28279379222315</v>
      </c>
      <c r="F5" s="3">
        <v>4.1300977537963597</v>
      </c>
      <c r="G5" s="3">
        <v>2.3013715275717601</v>
      </c>
      <c r="H5" s="3">
        <v>3.3203995597340401</v>
      </c>
      <c r="I5" s="3">
        <v>3.6827748534918201</v>
      </c>
      <c r="J5" s="3" t="e">
        <v>#N/A</v>
      </c>
      <c r="K5" s="3">
        <v>1.48631790400145</v>
      </c>
      <c r="L5" s="3">
        <v>3.7253599865036602</v>
      </c>
      <c r="M5" s="3">
        <v>3.5614450505851298</v>
      </c>
      <c r="N5" s="3">
        <v>2.6180227764780302</v>
      </c>
      <c r="O5" s="3">
        <v>1.6521342227938101</v>
      </c>
      <c r="P5" s="3">
        <v>3.8114294405407101</v>
      </c>
      <c r="Q5" s="3">
        <v>4.2541850887783799</v>
      </c>
      <c r="R5" s="3">
        <v>3.49028728665879</v>
      </c>
      <c r="S5" s="3">
        <v>3.1542206400144899</v>
      </c>
      <c r="T5" s="3">
        <v>2.9218611673558699</v>
      </c>
      <c r="U5" s="3">
        <v>2.9590830381710198</v>
      </c>
      <c r="V5" s="3" t="e">
        <v>#N/A</v>
      </c>
    </row>
    <row r="6" spans="1:22" x14ac:dyDescent="0.35">
      <c r="A6" s="2">
        <v>41962</v>
      </c>
      <c r="B6" s="3" t="e">
        <v>#N/A</v>
      </c>
      <c r="C6" s="3">
        <v>2.9329308694264999</v>
      </c>
      <c r="D6" s="3">
        <v>2.5013175506067999</v>
      </c>
      <c r="E6" s="3">
        <v>2.1598019023720201</v>
      </c>
      <c r="F6" s="3">
        <v>3.9714054217951098</v>
      </c>
      <c r="G6" s="3">
        <v>2.2640213904450199</v>
      </c>
      <c r="H6" s="3">
        <v>3.2211600970692702</v>
      </c>
      <c r="I6" s="3">
        <v>3.4456536844226102</v>
      </c>
      <c r="J6" s="3" t="e">
        <v>#N/A</v>
      </c>
      <c r="K6" s="3">
        <v>1.40405998704382</v>
      </c>
      <c r="L6" s="3">
        <v>3.7891010675577399</v>
      </c>
      <c r="M6" s="3">
        <v>3.3035466666181001</v>
      </c>
      <c r="N6" s="3">
        <v>2.5844938265718</v>
      </c>
      <c r="O6" s="3">
        <v>1.54578765738618</v>
      </c>
      <c r="P6" s="3">
        <v>3.7418698947969999</v>
      </c>
      <c r="Q6" s="3">
        <v>3.9818947700403999</v>
      </c>
      <c r="R6" s="3">
        <v>3.34464619686399</v>
      </c>
      <c r="S6" s="3">
        <v>2.88322738414143</v>
      </c>
      <c r="T6" s="3">
        <v>2.8731651470882</v>
      </c>
      <c r="U6" s="3">
        <v>3.0143125261248001</v>
      </c>
      <c r="V6" s="3" t="e">
        <v>#N/A</v>
      </c>
    </row>
    <row r="7" spans="1:22" x14ac:dyDescent="0.35">
      <c r="A7" s="2">
        <v>41992</v>
      </c>
      <c r="B7" s="3" t="e">
        <v>#N/A</v>
      </c>
      <c r="C7" s="3">
        <v>3.2287634010344299</v>
      </c>
      <c r="D7" s="3">
        <v>2.4965947598165901</v>
      </c>
      <c r="E7" s="3">
        <v>2.18385661517592</v>
      </c>
      <c r="F7" s="3">
        <v>4.0427508902238296</v>
      </c>
      <c r="G7" s="3">
        <v>2.1725227199308801</v>
      </c>
      <c r="H7" s="3">
        <v>3.3871313149612798</v>
      </c>
      <c r="I7" s="3">
        <v>3.4643541876202</v>
      </c>
      <c r="J7" s="3" t="e">
        <v>#N/A</v>
      </c>
      <c r="K7" s="3">
        <v>1.4063426501090901</v>
      </c>
      <c r="L7" s="3">
        <v>4.23500721272727</v>
      </c>
      <c r="M7" s="3">
        <v>3.3436428348209399</v>
      </c>
      <c r="N7" s="3">
        <v>2.9526130120333201</v>
      </c>
      <c r="O7" s="3">
        <v>1.59407988581039</v>
      </c>
      <c r="P7" s="3">
        <v>3.49895489613233</v>
      </c>
      <c r="Q7" s="3">
        <v>4.8594184778958596</v>
      </c>
      <c r="R7" s="3">
        <v>3.46994072216952</v>
      </c>
      <c r="S7" s="3">
        <v>2.7949706624941899</v>
      </c>
      <c r="T7" s="3">
        <v>3.61545485771093</v>
      </c>
      <c r="U7" s="3">
        <v>3.46532456529585</v>
      </c>
      <c r="V7" s="3" t="e">
        <v>#N/A</v>
      </c>
    </row>
    <row r="8" spans="1:22" x14ac:dyDescent="0.35">
      <c r="A8" s="2">
        <v>42020</v>
      </c>
      <c r="B8" s="3" t="e">
        <v>#N/A</v>
      </c>
      <c r="C8" s="3">
        <v>3.3035409795614199</v>
      </c>
      <c r="D8" s="3">
        <v>2.5247196595775701</v>
      </c>
      <c r="E8" s="3">
        <v>2.0944308429980998</v>
      </c>
      <c r="F8" s="3">
        <v>4.1490033430902002</v>
      </c>
      <c r="G8" s="3">
        <v>2.2673173962659501</v>
      </c>
      <c r="H8" s="3">
        <v>3.3372215655325701</v>
      </c>
      <c r="I8" s="3">
        <v>3.5484243328216398</v>
      </c>
      <c r="J8" s="3" t="e">
        <v>#N/A</v>
      </c>
      <c r="K8" s="3">
        <v>1.54913530451921</v>
      </c>
      <c r="L8" s="3">
        <v>4.1227751683696399</v>
      </c>
      <c r="M8" s="3">
        <v>3.3375218042841301</v>
      </c>
      <c r="N8" s="3">
        <v>3.6089996986210102</v>
      </c>
      <c r="O8" s="3">
        <v>1.5395682249662199</v>
      </c>
      <c r="P8" s="3">
        <v>3.2412769163917998</v>
      </c>
      <c r="Q8" s="3">
        <v>4.7043842919610199</v>
      </c>
      <c r="R8" s="3">
        <v>3.35272852009372</v>
      </c>
      <c r="S8" s="3">
        <v>2.71527275766391</v>
      </c>
      <c r="T8" s="3">
        <v>3.3924615258386499</v>
      </c>
      <c r="U8" s="3">
        <v>3.0245542913202601</v>
      </c>
      <c r="V8" s="3" t="e">
        <v>#N/A</v>
      </c>
    </row>
    <row r="9" spans="1:22" x14ac:dyDescent="0.35">
      <c r="A9" s="2">
        <v>42054</v>
      </c>
      <c r="B9" s="3" t="e">
        <v>#N/A</v>
      </c>
      <c r="C9" s="3">
        <v>3.1177640140848801</v>
      </c>
      <c r="D9" s="3">
        <v>2.329479715493</v>
      </c>
      <c r="E9" s="3">
        <v>1.95316770537233</v>
      </c>
      <c r="F9" s="3">
        <v>3.7852728282912498</v>
      </c>
      <c r="G9" s="3">
        <v>2.1589941610109999</v>
      </c>
      <c r="H9" s="3">
        <v>3.2059698923464799</v>
      </c>
      <c r="I9" s="3">
        <v>3.41444117853771</v>
      </c>
      <c r="J9" s="3" t="e">
        <v>#N/A</v>
      </c>
      <c r="K9" s="3">
        <v>1.58621371941933</v>
      </c>
      <c r="L9" s="3">
        <v>3.9627235140508299</v>
      </c>
      <c r="M9" s="3">
        <v>3.0720280777684801</v>
      </c>
      <c r="N9" s="3">
        <v>3.2715509303940098</v>
      </c>
      <c r="O9" s="3">
        <v>1.4566284634157101</v>
      </c>
      <c r="P9" s="3">
        <v>3.1046328457289101</v>
      </c>
      <c r="Q9" s="3">
        <v>4.1103975984699304</v>
      </c>
      <c r="R9" s="3">
        <v>3.16599333208337</v>
      </c>
      <c r="S9" s="3">
        <v>2.8463205165383898</v>
      </c>
      <c r="T9" s="3">
        <v>3.39936440434137</v>
      </c>
      <c r="U9" s="3">
        <v>3.14062691300825</v>
      </c>
      <c r="V9" s="3" t="e">
        <v>#N/A</v>
      </c>
    </row>
    <row r="10" spans="1:22" x14ac:dyDescent="0.35">
      <c r="A10" s="2">
        <v>42082</v>
      </c>
      <c r="B10" s="3" t="e">
        <v>#N/A</v>
      </c>
      <c r="C10" s="3">
        <v>3.3477604781094001</v>
      </c>
      <c r="D10" s="3">
        <v>2.2992512715447302</v>
      </c>
      <c r="E10" s="3">
        <v>1.91589303680062</v>
      </c>
      <c r="F10" s="3">
        <v>3.6777732183294098</v>
      </c>
      <c r="G10" s="3">
        <v>2.3491249102473502</v>
      </c>
      <c r="H10" s="3">
        <v>3.2003902386808001</v>
      </c>
      <c r="I10" s="3">
        <v>3.4019897310643801</v>
      </c>
      <c r="J10" s="3" t="e">
        <v>#N/A</v>
      </c>
      <c r="K10" s="3">
        <v>1.5298931190632601</v>
      </c>
      <c r="L10" s="3">
        <v>3.9112826037614998</v>
      </c>
      <c r="M10" s="3">
        <v>3.04834472490972</v>
      </c>
      <c r="N10" s="3">
        <v>3.7186699642947301</v>
      </c>
      <c r="O10" s="3">
        <v>1.5033293087906801</v>
      </c>
      <c r="P10" s="3">
        <v>3.0970655479751898</v>
      </c>
      <c r="Q10" s="3">
        <v>4.5186643550058996</v>
      </c>
      <c r="R10" s="3">
        <v>3.3879637952202102</v>
      </c>
      <c r="S10" s="3">
        <v>2.9648396430946402</v>
      </c>
      <c r="T10" s="3">
        <v>3.7139925278363801</v>
      </c>
      <c r="U10" s="3">
        <v>3.0568523740198401</v>
      </c>
      <c r="V10" s="3" t="e">
        <v>#N/A</v>
      </c>
    </row>
    <row r="11" spans="1:22" x14ac:dyDescent="0.35">
      <c r="A11" s="2">
        <v>42111</v>
      </c>
      <c r="B11" s="3" t="e">
        <v>#N/A</v>
      </c>
      <c r="C11" s="3">
        <v>3.1443979582139798</v>
      </c>
      <c r="D11" s="3">
        <v>2.3159552601545501</v>
      </c>
      <c r="E11" s="3">
        <v>1.8897046528460699</v>
      </c>
      <c r="F11" s="3">
        <v>3.3651248096534498</v>
      </c>
      <c r="G11" s="3">
        <v>2.2434406326926499</v>
      </c>
      <c r="H11" s="3">
        <v>3.1195520229851401</v>
      </c>
      <c r="I11" s="3">
        <v>3.6076021471034698</v>
      </c>
      <c r="J11" s="3" t="e">
        <v>#N/A</v>
      </c>
      <c r="K11" s="3">
        <v>1.48909781654516</v>
      </c>
      <c r="L11" s="3">
        <v>3.6556080388674301</v>
      </c>
      <c r="M11" s="3">
        <v>2.9724597688257801</v>
      </c>
      <c r="N11" s="3">
        <v>3.6615434066878398</v>
      </c>
      <c r="O11" s="3">
        <v>1.53819667528978</v>
      </c>
      <c r="P11" s="3">
        <v>2.5260241774465801</v>
      </c>
      <c r="Q11" s="3">
        <v>4.5346212589666601</v>
      </c>
      <c r="R11" s="3">
        <v>3.3157578090850901</v>
      </c>
      <c r="S11" s="3">
        <v>2.9299002443361202</v>
      </c>
      <c r="T11" s="3">
        <v>3.1271381853020999</v>
      </c>
      <c r="U11" s="3">
        <v>2.9328245283079499</v>
      </c>
      <c r="V11" s="3" t="e">
        <v>#N/A</v>
      </c>
    </row>
    <row r="12" spans="1:22" x14ac:dyDescent="0.35">
      <c r="A12" s="2">
        <v>42143</v>
      </c>
      <c r="B12" s="3" t="e">
        <v>#N/A</v>
      </c>
      <c r="C12" s="3">
        <v>3.1736949571447699</v>
      </c>
      <c r="D12" s="3">
        <v>2.3418682709010001</v>
      </c>
      <c r="E12" s="3">
        <v>1.90655196537701</v>
      </c>
      <c r="F12" s="3">
        <v>3.3258450460977702</v>
      </c>
      <c r="G12" s="3">
        <v>1.9234824900618399</v>
      </c>
      <c r="H12" s="3">
        <v>3.1611304977929402</v>
      </c>
      <c r="I12" s="3">
        <v>3.6817006277743198</v>
      </c>
      <c r="J12" s="3" t="e">
        <v>#N/A</v>
      </c>
      <c r="K12" s="3">
        <v>1.5705650585408999</v>
      </c>
      <c r="L12" s="3">
        <v>3.6746612270638201</v>
      </c>
      <c r="M12" s="3">
        <v>3.0763412141157098</v>
      </c>
      <c r="N12" s="3">
        <v>3.1341246473369</v>
      </c>
      <c r="O12" s="3">
        <v>1.64075425368827</v>
      </c>
      <c r="P12" s="3">
        <v>2.5571481981858</v>
      </c>
      <c r="Q12" s="3">
        <v>4.50715271668592</v>
      </c>
      <c r="R12" s="3">
        <v>3.3706298280475</v>
      </c>
      <c r="S12" s="3">
        <v>2.72363275515601</v>
      </c>
      <c r="T12" s="3">
        <v>3.18129596279132</v>
      </c>
      <c r="U12" s="3">
        <v>2.8297726416940301</v>
      </c>
      <c r="V12" s="3" t="e">
        <v>#N/A</v>
      </c>
    </row>
    <row r="13" spans="1:22" x14ac:dyDescent="0.35">
      <c r="A13" s="2">
        <v>42174</v>
      </c>
      <c r="B13" s="3" t="e">
        <v>#N/A</v>
      </c>
      <c r="C13" s="3">
        <v>3.4367211726439999</v>
      </c>
      <c r="D13" s="3">
        <v>2.45738754156157</v>
      </c>
      <c r="E13" s="3">
        <v>1.97522565023587</v>
      </c>
      <c r="F13" s="3">
        <v>3.6610374575317399</v>
      </c>
      <c r="G13" s="3">
        <v>2.0332659224263998</v>
      </c>
      <c r="H13" s="3">
        <v>3.2598745209917701</v>
      </c>
      <c r="I13" s="3">
        <v>3.8842159783969299</v>
      </c>
      <c r="J13" s="3" t="e">
        <v>#N/A</v>
      </c>
      <c r="K13" s="3">
        <v>1.67487249771274</v>
      </c>
      <c r="L13" s="3">
        <v>3.8830651229327899</v>
      </c>
      <c r="M13" s="3">
        <v>3.2420341828365999</v>
      </c>
      <c r="N13" s="3">
        <v>3.9198574097121601</v>
      </c>
      <c r="O13" s="3">
        <v>1.67915125372527</v>
      </c>
      <c r="P13" s="3">
        <v>2.78909809257545</v>
      </c>
      <c r="Q13" s="3">
        <v>4.6736001508042397</v>
      </c>
      <c r="R13" s="3">
        <v>3.4758704330085002</v>
      </c>
      <c r="S13" s="3">
        <v>3.00054203399444</v>
      </c>
      <c r="T13" s="3">
        <v>3.4824725376866299</v>
      </c>
      <c r="U13" s="3">
        <v>2.7863469186090999</v>
      </c>
      <c r="V13" s="3" t="e">
        <v>#N/A</v>
      </c>
    </row>
    <row r="14" spans="1:22" x14ac:dyDescent="0.35">
      <c r="A14" s="2">
        <v>42202</v>
      </c>
      <c r="B14" s="3" t="e">
        <v>#N/A</v>
      </c>
      <c r="C14" s="3">
        <v>3.5360453629784998</v>
      </c>
      <c r="D14" s="3">
        <v>2.47296445936021</v>
      </c>
      <c r="E14" s="3">
        <v>1.9007533175320299</v>
      </c>
      <c r="F14" s="3">
        <v>3.57303210067652</v>
      </c>
      <c r="G14" s="3">
        <v>2.0338537227040798</v>
      </c>
      <c r="H14" s="3">
        <v>3.2683893986633499</v>
      </c>
      <c r="I14" s="3">
        <v>4.0078229641340704</v>
      </c>
      <c r="J14" s="3" t="e">
        <v>#N/A</v>
      </c>
      <c r="K14" s="3">
        <v>1.6913977626286101</v>
      </c>
      <c r="L14" s="3">
        <v>3.8557444239640701</v>
      </c>
      <c r="M14" s="3">
        <v>3.1485990969174198</v>
      </c>
      <c r="N14" s="3">
        <v>3.3061786063529102</v>
      </c>
      <c r="O14" s="3">
        <v>1.53796708356432</v>
      </c>
      <c r="P14" s="3">
        <v>3.0581130056613701</v>
      </c>
      <c r="Q14" s="3">
        <v>4.6352944494028998</v>
      </c>
      <c r="R14" s="3">
        <v>3.4714943718376201</v>
      </c>
      <c r="S14" s="3">
        <v>3.0074584426300301</v>
      </c>
      <c r="T14" s="3">
        <v>3.51118904742777</v>
      </c>
      <c r="U14" s="3">
        <v>4.1481561947958099</v>
      </c>
      <c r="V14" s="3" t="e">
        <v>#N/A</v>
      </c>
    </row>
    <row r="15" spans="1:22" x14ac:dyDescent="0.35">
      <c r="A15" s="2">
        <v>42235</v>
      </c>
      <c r="B15" s="3" t="e">
        <v>#N/A</v>
      </c>
      <c r="C15" s="3">
        <v>3.6284780350746701</v>
      </c>
      <c r="D15" s="3">
        <v>2.7207311784767798</v>
      </c>
      <c r="E15" s="3">
        <v>1.97225649118413</v>
      </c>
      <c r="F15" s="3">
        <v>3.65443075513349</v>
      </c>
      <c r="G15" s="3">
        <v>2.3257758253606302</v>
      </c>
      <c r="H15" s="3">
        <v>3.56086360364261</v>
      </c>
      <c r="I15" s="3">
        <v>4.4302996355929301</v>
      </c>
      <c r="J15" s="3" t="e">
        <v>#N/A</v>
      </c>
      <c r="K15" s="3">
        <v>1.82535607662238</v>
      </c>
      <c r="L15" s="3">
        <v>4.1637870880704604</v>
      </c>
      <c r="M15" s="3">
        <v>3.3730692822220401</v>
      </c>
      <c r="N15" s="3">
        <v>4.0363930537452504</v>
      </c>
      <c r="O15" s="3">
        <v>1.5488330917909201</v>
      </c>
      <c r="P15" s="3">
        <v>3.2911802838220399</v>
      </c>
      <c r="Q15" s="3">
        <v>4.8796171432891198</v>
      </c>
      <c r="R15" s="3">
        <v>3.6717991536136001</v>
      </c>
      <c r="S15" s="3">
        <v>3.29922032010289</v>
      </c>
      <c r="T15" s="3">
        <v>3.81949633854921</v>
      </c>
      <c r="U15" s="3">
        <v>4.0685314419433398</v>
      </c>
      <c r="V15" s="3" t="e">
        <v>#N/A</v>
      </c>
    </row>
    <row r="16" spans="1:22" x14ac:dyDescent="0.35">
      <c r="A16" s="2">
        <v>42265</v>
      </c>
      <c r="B16" s="3" t="e">
        <v>#N/A</v>
      </c>
      <c r="C16" s="3">
        <v>3.6046762032105102</v>
      </c>
      <c r="D16" s="3">
        <v>2.7396644210077299</v>
      </c>
      <c r="E16" s="3">
        <v>2.0263410669231701</v>
      </c>
      <c r="F16" s="3">
        <v>3.59036772114754</v>
      </c>
      <c r="G16" s="3">
        <v>2.5046233298040499</v>
      </c>
      <c r="H16" s="3">
        <v>3.3225185498988101</v>
      </c>
      <c r="I16" s="3">
        <v>4.2055365808519403</v>
      </c>
      <c r="J16" s="3" t="e">
        <v>#N/A</v>
      </c>
      <c r="K16" s="3">
        <v>1.7869367690251201</v>
      </c>
      <c r="L16" s="3">
        <v>4.2831712150471803</v>
      </c>
      <c r="M16" s="3">
        <v>3.37710235713593</v>
      </c>
      <c r="N16" s="3">
        <v>3.1140436051301399</v>
      </c>
      <c r="O16" s="3">
        <v>1.6651335203623701</v>
      </c>
      <c r="P16" s="3">
        <v>3.3916023558919202</v>
      </c>
      <c r="Q16" s="3">
        <v>4.9615921910980898</v>
      </c>
      <c r="R16" s="3">
        <v>3.6147836376820299</v>
      </c>
      <c r="S16" s="3">
        <v>3.38292748832137</v>
      </c>
      <c r="T16" s="3">
        <v>4.0556289594144497</v>
      </c>
      <c r="U16" s="3">
        <v>3.5992645635679499</v>
      </c>
      <c r="V16" s="3" t="e">
        <v>#N/A</v>
      </c>
    </row>
    <row r="17" spans="1:22" x14ac:dyDescent="0.35">
      <c r="A17" s="2">
        <v>42296</v>
      </c>
      <c r="B17" s="3" t="e">
        <v>#N/A</v>
      </c>
      <c r="C17" s="3">
        <v>3.59115092748165</v>
      </c>
      <c r="D17" s="3">
        <v>2.5549920408101299</v>
      </c>
      <c r="E17" s="3">
        <v>1.99018517550084</v>
      </c>
      <c r="F17" s="3">
        <v>3.61875717940663</v>
      </c>
      <c r="G17" s="3">
        <v>2.5552404342170001</v>
      </c>
      <c r="H17" s="3">
        <v>3.2359111112892802</v>
      </c>
      <c r="I17" s="3">
        <v>4.1050529985247097</v>
      </c>
      <c r="J17" s="3" t="e">
        <v>#N/A</v>
      </c>
      <c r="K17" s="3">
        <v>1.7174200950031899</v>
      </c>
      <c r="L17" s="3">
        <v>4.0251129207143403</v>
      </c>
      <c r="M17" s="3">
        <v>3.2408420935745301</v>
      </c>
      <c r="N17" s="3">
        <v>2.9095627358391498</v>
      </c>
      <c r="O17" s="3">
        <v>1.6368422284669899</v>
      </c>
      <c r="P17" s="3">
        <v>3.1619041438878899</v>
      </c>
      <c r="Q17" s="3">
        <v>4.8162881427985704</v>
      </c>
      <c r="R17" s="3">
        <v>3.5610383517529098</v>
      </c>
      <c r="S17" s="3">
        <v>3.1571685295704799</v>
      </c>
      <c r="T17" s="3">
        <v>3.8322583116747002</v>
      </c>
      <c r="U17" s="3">
        <v>3.0333719573981801</v>
      </c>
      <c r="V17" s="3">
        <v>4.2395241777984802</v>
      </c>
    </row>
    <row r="18" spans="1:22" x14ac:dyDescent="0.35">
      <c r="A18" s="2">
        <v>42327</v>
      </c>
      <c r="B18" s="3" t="e">
        <v>#N/A</v>
      </c>
      <c r="C18" s="3">
        <v>3.6612076477344901</v>
      </c>
      <c r="D18" s="3">
        <v>2.5474394206508602</v>
      </c>
      <c r="E18" s="3">
        <v>2.06689469671552</v>
      </c>
      <c r="F18" s="3">
        <v>3.9625259586662498</v>
      </c>
      <c r="G18" s="3">
        <v>2.2881818012414299</v>
      </c>
      <c r="H18" s="3">
        <v>3.3299644102904602</v>
      </c>
      <c r="I18" s="3">
        <v>4.1383761521616096</v>
      </c>
      <c r="J18" s="3" t="e">
        <v>#N/A</v>
      </c>
      <c r="K18" s="3">
        <v>1.8557775540391199</v>
      </c>
      <c r="L18" s="3">
        <v>3.9096814186777502</v>
      </c>
      <c r="M18" s="3">
        <v>3.29447952140083</v>
      </c>
      <c r="N18" s="3">
        <v>3.1199794078951202</v>
      </c>
      <c r="O18" s="3">
        <v>1.7436440807523901</v>
      </c>
      <c r="P18" s="3">
        <v>3.2110384194569201</v>
      </c>
      <c r="Q18" s="3">
        <v>5.2209143883481302</v>
      </c>
      <c r="R18" s="3">
        <v>3.6559840766667202</v>
      </c>
      <c r="S18" s="3">
        <v>3.18832844421271</v>
      </c>
      <c r="T18" s="3">
        <v>4.3428129896709997</v>
      </c>
      <c r="U18" s="3">
        <v>2.9809811863346098</v>
      </c>
      <c r="V18" s="3">
        <v>4.67842399176262</v>
      </c>
    </row>
    <row r="19" spans="1:22" x14ac:dyDescent="0.35">
      <c r="A19" s="2">
        <v>42356</v>
      </c>
      <c r="B19" s="3" t="e">
        <v>#N/A</v>
      </c>
      <c r="C19" s="3">
        <v>3.7712079525740898</v>
      </c>
      <c r="D19" s="3">
        <v>2.5617049981484898</v>
      </c>
      <c r="E19" s="3">
        <v>1.9754161038243701</v>
      </c>
      <c r="F19" s="3">
        <v>4.0901652198817002</v>
      </c>
      <c r="G19" s="3">
        <v>2.75456909060969</v>
      </c>
      <c r="H19" s="3">
        <v>3.3235866396576399</v>
      </c>
      <c r="I19" s="3">
        <v>4.2334881559170903</v>
      </c>
      <c r="J19" s="3" t="e">
        <v>#N/A</v>
      </c>
      <c r="K19" s="3">
        <v>1.9165642001774601</v>
      </c>
      <c r="L19" s="3">
        <v>4.1398548938658601</v>
      </c>
      <c r="M19" s="3">
        <v>3.58487063692347</v>
      </c>
      <c r="N19" s="3">
        <v>2.90757794228433</v>
      </c>
      <c r="O19" s="3">
        <v>1.7323469340001301</v>
      </c>
      <c r="P19" s="3">
        <v>3.2990744193657102</v>
      </c>
      <c r="Q19" s="3">
        <v>5.6889853193065099</v>
      </c>
      <c r="R19" s="3">
        <v>3.9141872357079599</v>
      </c>
      <c r="S19" s="3">
        <v>3.5901794549817501</v>
      </c>
      <c r="T19" s="3">
        <v>4.1620814253444296</v>
      </c>
      <c r="U19" s="3">
        <v>2.7430848179073299</v>
      </c>
      <c r="V19" s="3">
        <v>4.6184134358914397</v>
      </c>
    </row>
    <row r="20" spans="1:22" x14ac:dyDescent="0.35">
      <c r="A20" s="2">
        <v>42388</v>
      </c>
      <c r="B20" s="3" t="e">
        <v>#N/A</v>
      </c>
      <c r="C20" s="3">
        <v>4.02498120191966</v>
      </c>
      <c r="D20" s="3">
        <v>2.5461855268865401</v>
      </c>
      <c r="E20" s="3">
        <v>2.15617880876284</v>
      </c>
      <c r="F20" s="3">
        <v>4.3995109130866599</v>
      </c>
      <c r="G20" s="3">
        <v>2.9800675810191</v>
      </c>
      <c r="H20" s="3">
        <v>3.3679724413229</v>
      </c>
      <c r="I20" s="3">
        <v>4.57056253709617</v>
      </c>
      <c r="J20" s="3">
        <v>2.2390133081041799</v>
      </c>
      <c r="K20" s="3">
        <v>2.04656681257087</v>
      </c>
      <c r="L20" s="3">
        <v>4.9473916038079304</v>
      </c>
      <c r="M20" s="3">
        <v>3.7404281431033901</v>
      </c>
      <c r="N20" s="3">
        <v>2.91937725146891</v>
      </c>
      <c r="O20" s="3">
        <v>1.7958212591934899</v>
      </c>
      <c r="P20" s="3">
        <v>3.2349490245971699</v>
      </c>
      <c r="Q20" s="3">
        <v>6.1907407975009701</v>
      </c>
      <c r="R20" s="3">
        <v>3.81839142028144</v>
      </c>
      <c r="S20" s="3">
        <v>3.6771593825009101</v>
      </c>
      <c r="T20" s="3">
        <v>4.8035285608381102</v>
      </c>
      <c r="U20" s="3" t="e">
        <v>#N/A</v>
      </c>
      <c r="V20" s="3">
        <v>5.3718293971420596</v>
      </c>
    </row>
    <row r="21" spans="1:22" x14ac:dyDescent="0.35">
      <c r="A21" s="2">
        <v>42419</v>
      </c>
      <c r="B21" s="3" t="e">
        <v>#N/A</v>
      </c>
      <c r="C21" s="3">
        <v>3.67411759260616</v>
      </c>
      <c r="D21" s="3">
        <v>2.4371844945802001</v>
      </c>
      <c r="E21" s="3">
        <v>1.9908766900922199</v>
      </c>
      <c r="F21" s="3">
        <v>4.0309085346960796</v>
      </c>
      <c r="G21" s="3">
        <v>2.52290083575503</v>
      </c>
      <c r="H21" s="3">
        <v>3.19972556802895</v>
      </c>
      <c r="I21" s="3">
        <v>4.3162966894077703</v>
      </c>
      <c r="J21" s="3">
        <v>2.1513540350778002</v>
      </c>
      <c r="K21" s="3">
        <v>1.94948357580103</v>
      </c>
      <c r="L21" s="3">
        <v>4.2598398812664202</v>
      </c>
      <c r="M21" s="3">
        <v>3.5388932913589102</v>
      </c>
      <c r="N21" s="3">
        <v>2.87909763977212</v>
      </c>
      <c r="O21" s="3">
        <v>1.8259576351014899</v>
      </c>
      <c r="P21" s="3">
        <v>3.2462490482342901</v>
      </c>
      <c r="Q21" s="3">
        <v>5.0455969803330998</v>
      </c>
      <c r="R21" s="3">
        <v>3.5762230603943199</v>
      </c>
      <c r="S21" s="3">
        <v>3.5540174763363499</v>
      </c>
      <c r="T21" s="3">
        <v>4.4734883577642801</v>
      </c>
      <c r="U21" s="3" t="e">
        <v>#N/A</v>
      </c>
      <c r="V21" s="3">
        <v>5.1359498627515299</v>
      </c>
    </row>
    <row r="22" spans="1:22" x14ac:dyDescent="0.35">
      <c r="A22" s="2">
        <v>42447</v>
      </c>
      <c r="B22" s="3" t="e">
        <v>#N/A</v>
      </c>
      <c r="C22" s="3">
        <v>3.3846167792406598</v>
      </c>
      <c r="D22" s="3">
        <v>2.3348353773077499</v>
      </c>
      <c r="E22" s="3">
        <v>1.7932233203465</v>
      </c>
      <c r="F22" s="3">
        <v>3.6926264294831599</v>
      </c>
      <c r="G22" s="3">
        <v>2.0934778907672</v>
      </c>
      <c r="H22" s="3">
        <v>3.0618937698734499</v>
      </c>
      <c r="I22" s="3">
        <v>4.0662935605891697</v>
      </c>
      <c r="J22" s="3">
        <v>2.08036202878744</v>
      </c>
      <c r="K22" s="3">
        <v>1.9019415364044301</v>
      </c>
      <c r="L22" s="3">
        <v>3.2741605700834802</v>
      </c>
      <c r="M22" s="3">
        <v>3.2328467375162901</v>
      </c>
      <c r="N22" s="3">
        <v>3.4456676717580801</v>
      </c>
      <c r="O22" s="3">
        <v>1.7492940246392299</v>
      </c>
      <c r="P22" s="3">
        <v>2.9760956884859402</v>
      </c>
      <c r="Q22" s="3">
        <v>4.1915145933830402</v>
      </c>
      <c r="R22" s="3">
        <v>3.4091290784610599</v>
      </c>
      <c r="S22" s="3">
        <v>3.09951135672876</v>
      </c>
      <c r="T22" s="3">
        <v>3.9439104446109399</v>
      </c>
      <c r="U22" s="3">
        <v>2.72272928974773</v>
      </c>
      <c r="V22" s="3">
        <v>4.6243307956003497</v>
      </c>
    </row>
    <row r="23" spans="1:22" x14ac:dyDescent="0.35">
      <c r="A23" s="2">
        <v>42479</v>
      </c>
      <c r="B23" s="3" t="e">
        <v>#N/A</v>
      </c>
      <c r="C23" s="3">
        <v>3.4440756220454101</v>
      </c>
      <c r="D23" s="3">
        <v>2.3725804319407899</v>
      </c>
      <c r="E23" s="3">
        <v>1.80045820352476</v>
      </c>
      <c r="F23" s="3">
        <v>3.5821537494148399</v>
      </c>
      <c r="G23" s="3">
        <v>1.8908606183713501</v>
      </c>
      <c r="H23" s="3">
        <v>3.0718388517422399</v>
      </c>
      <c r="I23" s="3">
        <v>4.2840820945718603</v>
      </c>
      <c r="J23" s="3">
        <v>2.02485995766357</v>
      </c>
      <c r="K23" s="3">
        <v>1.90343603074636</v>
      </c>
      <c r="L23" s="3">
        <v>3.1077431881161801</v>
      </c>
      <c r="M23" s="3">
        <v>3.1922444736062898</v>
      </c>
      <c r="N23" s="3">
        <v>3.04556591566705</v>
      </c>
      <c r="O23" s="3">
        <v>1.6925038048933401</v>
      </c>
      <c r="P23" s="3">
        <v>2.8257738414854101</v>
      </c>
      <c r="Q23" s="3">
        <v>4.2322753691459303</v>
      </c>
      <c r="R23" s="3">
        <v>3.34936246334351</v>
      </c>
      <c r="S23" s="3">
        <v>3.1509172082313102</v>
      </c>
      <c r="T23" s="3">
        <v>3.8645895332731199</v>
      </c>
      <c r="U23" s="3">
        <v>3.14593038541723</v>
      </c>
      <c r="V23" s="3">
        <v>4.28322102837895</v>
      </c>
    </row>
    <row r="24" spans="1:22" x14ac:dyDescent="0.35">
      <c r="A24" s="2">
        <v>42509</v>
      </c>
      <c r="B24" s="3" t="e">
        <v>#N/A</v>
      </c>
      <c r="C24" s="3">
        <v>3.3139386843456302</v>
      </c>
      <c r="D24" s="3">
        <v>2.4864148656374101</v>
      </c>
      <c r="E24" s="3">
        <v>1.75193114088749</v>
      </c>
      <c r="F24" s="3">
        <v>3.9048057707342698</v>
      </c>
      <c r="G24" s="3">
        <v>1.7537899020483501</v>
      </c>
      <c r="H24" s="3">
        <v>3.2091971568463298</v>
      </c>
      <c r="I24" s="3">
        <v>4.5626477820975397</v>
      </c>
      <c r="J24" s="3">
        <v>2.1187821284199799</v>
      </c>
      <c r="K24" s="3">
        <v>2.0102523579093301</v>
      </c>
      <c r="L24" s="3">
        <v>3.3998067368934901</v>
      </c>
      <c r="M24" s="3">
        <v>3.4291474655817402</v>
      </c>
      <c r="N24" s="3">
        <v>2.34750808849883</v>
      </c>
      <c r="O24" s="3">
        <v>1.7159464606705199</v>
      </c>
      <c r="P24" s="3">
        <v>3.0893853518087901</v>
      </c>
      <c r="Q24" s="3">
        <v>4.3537727004714002</v>
      </c>
      <c r="R24" s="3">
        <v>3.4484766805489402</v>
      </c>
      <c r="S24" s="3">
        <v>3.48182228526003</v>
      </c>
      <c r="T24" s="3">
        <v>4.2781632746741201</v>
      </c>
      <c r="U24" s="3">
        <v>3.1843828791187301</v>
      </c>
      <c r="V24" s="3">
        <v>4.0625263889168899</v>
      </c>
    </row>
    <row r="25" spans="1:22" x14ac:dyDescent="0.35">
      <c r="A25" s="2">
        <v>42538</v>
      </c>
      <c r="B25" s="3" t="e">
        <v>#N/A</v>
      </c>
      <c r="C25" s="3">
        <v>3.25989540417901</v>
      </c>
      <c r="D25" s="3">
        <v>2.3766010283033099</v>
      </c>
      <c r="E25" s="3">
        <v>1.6790820728257001</v>
      </c>
      <c r="F25" s="3">
        <v>3.93404441754884</v>
      </c>
      <c r="G25" s="3">
        <v>1.8117220544533299</v>
      </c>
      <c r="H25" s="3">
        <v>3.1102132479003299</v>
      </c>
      <c r="I25" s="3">
        <v>4.2253434326288399</v>
      </c>
      <c r="J25" s="3">
        <v>2.1370522691691001</v>
      </c>
      <c r="K25" s="3">
        <v>1.9879372813893501</v>
      </c>
      <c r="L25" s="3">
        <v>3.45663343874052</v>
      </c>
      <c r="M25" s="3">
        <v>3.1843818636069101</v>
      </c>
      <c r="N25" s="3">
        <v>2.72675923679299</v>
      </c>
      <c r="O25" s="3">
        <v>1.6155434107975599</v>
      </c>
      <c r="P25" s="3">
        <v>2.6965323775767001</v>
      </c>
      <c r="Q25" s="3">
        <v>4.27164876486514</v>
      </c>
      <c r="R25" s="3">
        <v>3.3461148302913801</v>
      </c>
      <c r="S25" s="3">
        <v>3.63977515425848</v>
      </c>
      <c r="T25" s="3">
        <v>4.0535390541824503</v>
      </c>
      <c r="U25" s="3">
        <v>3.2552239561672698</v>
      </c>
      <c r="V25" s="3">
        <v>4.0993327882474402</v>
      </c>
    </row>
    <row r="26" spans="1:22" x14ac:dyDescent="0.35">
      <c r="A26" s="2">
        <v>42570</v>
      </c>
      <c r="B26" s="3">
        <v>2.2112690582941901</v>
      </c>
      <c r="C26" s="3">
        <v>2.8804889128675599</v>
      </c>
      <c r="D26" s="3">
        <v>2.1718826047459001</v>
      </c>
      <c r="E26" s="3">
        <v>1.6343603952850001</v>
      </c>
      <c r="F26" s="3">
        <v>3.6646688859382501</v>
      </c>
      <c r="G26" s="3">
        <v>1.72307716364802</v>
      </c>
      <c r="H26" s="3">
        <v>2.9976105408453901</v>
      </c>
      <c r="I26" s="3">
        <v>4.0483013216676902</v>
      </c>
      <c r="J26" s="3">
        <v>2.04606742620282</v>
      </c>
      <c r="K26" s="3">
        <v>1.9290854553042101</v>
      </c>
      <c r="L26" s="3">
        <v>2.96270675904668</v>
      </c>
      <c r="M26" s="3">
        <v>2.9871532301647101</v>
      </c>
      <c r="N26" s="3">
        <v>2.9001717461430698</v>
      </c>
      <c r="O26" s="3">
        <v>1.5537356261008901</v>
      </c>
      <c r="P26" s="3">
        <v>2.48270784637866</v>
      </c>
      <c r="Q26" s="3">
        <v>3.9815879622792898</v>
      </c>
      <c r="R26" s="3">
        <v>3.2025244347216399</v>
      </c>
      <c r="S26" s="3">
        <v>3.6265468856753298</v>
      </c>
      <c r="T26" s="3">
        <v>3.8176550638264799</v>
      </c>
      <c r="U26" s="3">
        <v>3.10709899813294</v>
      </c>
      <c r="V26" s="3">
        <v>4.1938470418394296</v>
      </c>
    </row>
    <row r="27" spans="1:22" x14ac:dyDescent="0.35">
      <c r="A27" s="2">
        <v>42601</v>
      </c>
      <c r="B27" s="3">
        <v>2.1774314650275199</v>
      </c>
      <c r="C27" s="3">
        <v>2.8776136269697798</v>
      </c>
      <c r="D27" s="3">
        <v>2.15808461074861</v>
      </c>
      <c r="E27" s="3">
        <v>1.6060808855253199</v>
      </c>
      <c r="F27" s="3">
        <v>3.5454669930978602</v>
      </c>
      <c r="G27" s="3">
        <v>1.40860649508291</v>
      </c>
      <c r="H27" s="3">
        <v>2.9415855901575898</v>
      </c>
      <c r="I27" s="3">
        <v>4.0711372367404497</v>
      </c>
      <c r="J27" s="3">
        <v>2.0392762142178502</v>
      </c>
      <c r="K27" s="3">
        <v>1.86437364773598</v>
      </c>
      <c r="L27" s="3">
        <v>2.99745912705934</v>
      </c>
      <c r="M27" s="3">
        <v>2.9601160153831101</v>
      </c>
      <c r="N27" s="3">
        <v>2.9787584815867301</v>
      </c>
      <c r="O27" s="3">
        <v>1.5418482580734201</v>
      </c>
      <c r="P27" s="3">
        <v>2.3134074180717601</v>
      </c>
      <c r="Q27" s="3">
        <v>3.5519799573603401</v>
      </c>
      <c r="R27" s="3">
        <v>3.1296457899021601</v>
      </c>
      <c r="S27" s="3">
        <v>3.4557384352374099</v>
      </c>
      <c r="T27" s="3">
        <v>3.7293481786433098</v>
      </c>
      <c r="U27" s="3">
        <v>3.0274608393725599</v>
      </c>
      <c r="V27" s="3">
        <v>4.5293564407875797</v>
      </c>
    </row>
    <row r="28" spans="1:22" x14ac:dyDescent="0.35">
      <c r="A28" s="2">
        <v>42632</v>
      </c>
      <c r="B28" s="3">
        <v>2.2635605177017699</v>
      </c>
      <c r="C28" s="3">
        <v>3.11483161052857</v>
      </c>
      <c r="D28" s="3">
        <v>2.2366013165360101</v>
      </c>
      <c r="E28" s="3">
        <v>1.6713223158078001</v>
      </c>
      <c r="F28" s="3">
        <v>3.6063492348995601</v>
      </c>
      <c r="G28" s="3">
        <v>1.5441245356834501</v>
      </c>
      <c r="H28" s="3">
        <v>2.9846371728611798</v>
      </c>
      <c r="I28" s="3">
        <v>4.0423502999871701</v>
      </c>
      <c r="J28" s="3">
        <v>2.1301329538763301</v>
      </c>
      <c r="K28" s="3">
        <v>1.8983078046012201</v>
      </c>
      <c r="L28" s="3">
        <v>3.1737050471927799</v>
      </c>
      <c r="M28" s="3">
        <v>3.1027302562023702</v>
      </c>
      <c r="N28" s="3">
        <v>3.4187854826118498</v>
      </c>
      <c r="O28" s="3">
        <v>1.5212428211614299</v>
      </c>
      <c r="P28" s="3">
        <v>2.2579215052777202</v>
      </c>
      <c r="Q28" s="3">
        <v>4.05442170750102</v>
      </c>
      <c r="R28" s="3">
        <v>3.27953394177276</v>
      </c>
      <c r="S28" s="3">
        <v>3.5447906928284101</v>
      </c>
      <c r="T28" s="3">
        <v>3.6876768624338698</v>
      </c>
      <c r="U28" s="3">
        <v>2.7745061965929798</v>
      </c>
      <c r="V28" s="3">
        <v>4.7966928751092697</v>
      </c>
    </row>
    <row r="29" spans="1:22" x14ac:dyDescent="0.35">
      <c r="A29" s="2">
        <v>42662</v>
      </c>
      <c r="B29" s="3">
        <v>2.2764091993734801</v>
      </c>
      <c r="C29" s="3">
        <v>2.6790360387193499</v>
      </c>
      <c r="D29" s="3">
        <v>2.23955699869067</v>
      </c>
      <c r="E29" s="3">
        <v>1.61843328023374</v>
      </c>
      <c r="F29" s="3">
        <v>3.4082809896244202</v>
      </c>
      <c r="G29" s="3">
        <v>1.5430815193951399</v>
      </c>
      <c r="H29" s="3">
        <v>2.9396107180634998</v>
      </c>
      <c r="I29" s="3">
        <v>3.98878758895416</v>
      </c>
      <c r="J29" s="3">
        <v>2.0563848638722901</v>
      </c>
      <c r="K29" s="3">
        <v>1.91184832477691</v>
      </c>
      <c r="L29" s="3">
        <v>2.87131914725019</v>
      </c>
      <c r="M29" s="3">
        <v>3.21120616083198</v>
      </c>
      <c r="N29" s="3">
        <v>2.96929795168941</v>
      </c>
      <c r="O29" s="3">
        <v>1.5475568842265901</v>
      </c>
      <c r="P29" s="3">
        <v>2.2650787400436498</v>
      </c>
      <c r="Q29" s="3">
        <v>3.8990318714020402</v>
      </c>
      <c r="R29" s="3">
        <v>3.3120081286952399</v>
      </c>
      <c r="S29" s="3">
        <v>3.54300126010973</v>
      </c>
      <c r="T29" s="3">
        <v>3.7396610210012202</v>
      </c>
      <c r="U29" s="3">
        <v>2.5776588595229502</v>
      </c>
      <c r="V29" s="3">
        <v>5.0060975801222201</v>
      </c>
    </row>
    <row r="30" spans="1:22" x14ac:dyDescent="0.35">
      <c r="A30" s="2">
        <v>42692</v>
      </c>
      <c r="B30" s="3">
        <v>2.2168696486789998</v>
      </c>
      <c r="C30" s="3">
        <v>2.8534223225678601</v>
      </c>
      <c r="D30" s="3">
        <v>2.4363827283035602</v>
      </c>
      <c r="E30" s="3">
        <v>1.75394645974115</v>
      </c>
      <c r="F30" s="3">
        <v>3.40957523336054</v>
      </c>
      <c r="G30" s="3">
        <v>1.97437753366867</v>
      </c>
      <c r="H30" s="3">
        <v>3.0399072649896399</v>
      </c>
      <c r="I30" s="3">
        <v>4.2329219414079198</v>
      </c>
      <c r="J30" s="3">
        <v>2.3324352379542201</v>
      </c>
      <c r="K30" s="3">
        <v>2.0053390584459101</v>
      </c>
      <c r="L30" s="3">
        <v>3.1581801816522099</v>
      </c>
      <c r="M30" s="3">
        <v>3.3275920835634301</v>
      </c>
      <c r="N30" s="3">
        <v>2.85477613468777</v>
      </c>
      <c r="O30" s="3">
        <v>1.7166781652257701</v>
      </c>
      <c r="P30" s="3">
        <v>2.3550565292454602</v>
      </c>
      <c r="Q30" s="3">
        <v>4.1974664713929499</v>
      </c>
      <c r="R30" s="3">
        <v>3.3337405048907001</v>
      </c>
      <c r="S30" s="3">
        <v>3.7584653705880799</v>
      </c>
      <c r="T30" s="3">
        <v>3.9860882788774101</v>
      </c>
      <c r="U30" s="3">
        <v>2.6668246643624398</v>
      </c>
      <c r="V30" s="3">
        <v>4.1648959332079496</v>
      </c>
    </row>
    <row r="31" spans="1:22" x14ac:dyDescent="0.35">
      <c r="A31" s="2">
        <v>42723</v>
      </c>
      <c r="B31" s="3">
        <v>2.29781801421636</v>
      </c>
      <c r="C31" s="3">
        <v>2.8605054217997998</v>
      </c>
      <c r="D31" s="3">
        <v>2.5064630388036</v>
      </c>
      <c r="E31" s="3">
        <v>1.7965436408028099</v>
      </c>
      <c r="F31" s="3">
        <v>3.0886315864749698</v>
      </c>
      <c r="G31" s="3">
        <v>2.2260342525820702</v>
      </c>
      <c r="H31" s="3">
        <v>3.0258941285019998</v>
      </c>
      <c r="I31" s="3">
        <v>4.1929208706871499</v>
      </c>
      <c r="J31" s="3">
        <v>2.3939626790134501</v>
      </c>
      <c r="K31" s="3">
        <v>1.9456521121341801</v>
      </c>
      <c r="L31" s="3">
        <v>3.6810420340558498</v>
      </c>
      <c r="M31" s="3">
        <v>3.3336267608405099</v>
      </c>
      <c r="N31" s="3">
        <v>2.9299179806342002</v>
      </c>
      <c r="O31" s="3">
        <v>1.6951417472633401</v>
      </c>
      <c r="P31" s="3">
        <v>2.4278450171066899</v>
      </c>
      <c r="Q31" s="3">
        <v>3.9530481212028001</v>
      </c>
      <c r="R31" s="3">
        <v>3.2526523629231199</v>
      </c>
      <c r="S31" s="3">
        <v>3.8186839304511002</v>
      </c>
      <c r="T31" s="3">
        <v>4.1256221411045901</v>
      </c>
      <c r="U31" s="3">
        <v>2.93083180888341</v>
      </c>
      <c r="V31" s="3">
        <v>3.91234656709798</v>
      </c>
    </row>
    <row r="32" spans="1:22" x14ac:dyDescent="0.35">
      <c r="A32" s="2">
        <v>42754</v>
      </c>
      <c r="B32" s="3">
        <v>2.3047458255678102</v>
      </c>
      <c r="C32" s="3">
        <v>2.9412715926492798</v>
      </c>
      <c r="D32" s="3">
        <v>2.4271698433745899</v>
      </c>
      <c r="E32" s="3">
        <v>1.6475062186824401</v>
      </c>
      <c r="F32" s="3">
        <v>2.8681514531253098</v>
      </c>
      <c r="G32" s="3">
        <v>2.2308581139351502</v>
      </c>
      <c r="H32" s="3">
        <v>3.0064953146482201</v>
      </c>
      <c r="I32" s="3">
        <v>4.2339695327491897</v>
      </c>
      <c r="J32" s="3">
        <v>2.3779628177288701</v>
      </c>
      <c r="K32" s="3">
        <v>1.9504777940117799</v>
      </c>
      <c r="L32" s="3">
        <v>3.37484935919109</v>
      </c>
      <c r="M32" s="3">
        <v>3.1452710617744701</v>
      </c>
      <c r="N32" s="3">
        <v>2.91792512840754</v>
      </c>
      <c r="O32" s="3">
        <v>1.65201689915579</v>
      </c>
      <c r="P32" s="3">
        <v>2.3323785854345198</v>
      </c>
      <c r="Q32" s="3">
        <v>3.5744050011808399</v>
      </c>
      <c r="R32" s="3">
        <v>3.19339931473404</v>
      </c>
      <c r="S32" s="3">
        <v>3.6756483053292799</v>
      </c>
      <c r="T32" s="3">
        <v>3.98463561767834</v>
      </c>
      <c r="U32" s="3">
        <v>2.9063077657495699</v>
      </c>
      <c r="V32" s="3">
        <v>3.8802988533583198</v>
      </c>
    </row>
    <row r="33" spans="1:22" x14ac:dyDescent="0.35">
      <c r="A33" s="2">
        <v>42783</v>
      </c>
      <c r="B33" s="3">
        <v>2.3306679916217501</v>
      </c>
      <c r="C33" s="3">
        <v>2.7625215001552199</v>
      </c>
      <c r="D33" s="3">
        <v>2.43035077752489</v>
      </c>
      <c r="E33" s="3">
        <v>1.6430239389044901</v>
      </c>
      <c r="F33" s="3">
        <v>2.6191874617357001</v>
      </c>
      <c r="G33" s="3">
        <v>1.9819816233429299</v>
      </c>
      <c r="H33" s="3">
        <v>2.97325093281369</v>
      </c>
      <c r="I33" s="3">
        <v>4.0709110149791998</v>
      </c>
      <c r="J33" s="3">
        <v>2.3769274610656099</v>
      </c>
      <c r="K33" s="3">
        <v>1.9328518583148999</v>
      </c>
      <c r="L33" s="3">
        <v>3.31815526873272</v>
      </c>
      <c r="M33" s="3">
        <v>3.1656591715800899</v>
      </c>
      <c r="N33" s="3">
        <v>3.0741073716859302</v>
      </c>
      <c r="O33" s="3">
        <v>1.5982912410880801</v>
      </c>
      <c r="P33" s="3">
        <v>2.24090422027</v>
      </c>
      <c r="Q33" s="3">
        <v>3.7247364154762401</v>
      </c>
      <c r="R33" s="3">
        <v>3.1043520290364102</v>
      </c>
      <c r="S33" s="3">
        <v>3.4892645904130499</v>
      </c>
      <c r="T33" s="3">
        <v>4.0486547456581699</v>
      </c>
      <c r="U33" s="3">
        <v>3.0555663774770299</v>
      </c>
      <c r="V33" s="3">
        <v>3.7622985000747802</v>
      </c>
    </row>
    <row r="34" spans="1:22" x14ac:dyDescent="0.35">
      <c r="A34" s="2">
        <v>42811</v>
      </c>
      <c r="B34" s="3">
        <v>2.3067432509076902</v>
      </c>
      <c r="C34" s="3">
        <v>2.6407864267267298</v>
      </c>
      <c r="D34" s="3">
        <v>2.4256885527710899</v>
      </c>
      <c r="E34" s="3">
        <v>1.63853808504665</v>
      </c>
      <c r="F34" s="3">
        <v>2.3601520644671101</v>
      </c>
      <c r="G34" s="3">
        <v>2.1375872280280701</v>
      </c>
      <c r="H34" s="3">
        <v>2.9484578407957098</v>
      </c>
      <c r="I34" s="3">
        <v>4.0813397180580004</v>
      </c>
      <c r="J34" s="3">
        <v>2.3721527464043599</v>
      </c>
      <c r="K34" s="3">
        <v>1.86638642799833</v>
      </c>
      <c r="L34" s="3">
        <v>3.6343308778012</v>
      </c>
      <c r="M34" s="3">
        <v>3.12570567291269</v>
      </c>
      <c r="N34" s="3">
        <v>2.9753131844425802</v>
      </c>
      <c r="O34" s="3">
        <v>1.54784383746729</v>
      </c>
      <c r="P34" s="3">
        <v>2.1895725387954998</v>
      </c>
      <c r="Q34" s="3">
        <v>3.85666512334892</v>
      </c>
      <c r="R34" s="3">
        <v>3.1567142470988299</v>
      </c>
      <c r="S34" s="3">
        <v>3.5267135537233898</v>
      </c>
      <c r="T34" s="3">
        <v>4.1846782273263603</v>
      </c>
      <c r="U34" s="3">
        <v>2.9990710541441001</v>
      </c>
      <c r="V34" s="3">
        <v>3.9702016138771801</v>
      </c>
    </row>
    <row r="35" spans="1:22" x14ac:dyDescent="0.35">
      <c r="A35" s="2">
        <v>42844</v>
      </c>
      <c r="B35" s="3">
        <v>2.2944487763993102</v>
      </c>
      <c r="C35" s="3">
        <v>2.4648174045042199</v>
      </c>
      <c r="D35" s="3">
        <v>2.46950803713856</v>
      </c>
      <c r="E35" s="3">
        <v>1.61185197100206</v>
      </c>
      <c r="F35" s="3">
        <v>2.4352091745120101</v>
      </c>
      <c r="G35" s="3">
        <v>2.0995150424968401</v>
      </c>
      <c r="H35" s="3">
        <v>2.99874004529295</v>
      </c>
      <c r="I35" s="3">
        <v>4.2016975298607502</v>
      </c>
      <c r="J35" s="3">
        <v>2.4122937759519898</v>
      </c>
      <c r="K35" s="3">
        <v>1.96747598655974</v>
      </c>
      <c r="L35" s="3">
        <v>3.6874010453811601</v>
      </c>
      <c r="M35" s="3">
        <v>3.1562934768890498</v>
      </c>
      <c r="N35" s="3">
        <v>2.6343291744054902</v>
      </c>
      <c r="O35" s="3">
        <v>1.5828075174774201</v>
      </c>
      <c r="P35" s="3">
        <v>2.31405781911202</v>
      </c>
      <c r="Q35" s="3">
        <v>3.8539820705616799</v>
      </c>
      <c r="R35" s="3">
        <v>3.1566877129474502</v>
      </c>
      <c r="S35" s="3">
        <v>3.6222997603348901</v>
      </c>
      <c r="T35" s="3">
        <v>3.9835872842097499</v>
      </c>
      <c r="U35" s="3">
        <v>2.63622513413058</v>
      </c>
      <c r="V35" s="3">
        <v>3.98601177968147</v>
      </c>
    </row>
    <row r="36" spans="1:22" x14ac:dyDescent="0.35">
      <c r="A36" s="2">
        <v>42874</v>
      </c>
      <c r="B36" s="3">
        <v>2.2507357815946301</v>
      </c>
      <c r="C36" s="3">
        <v>2.4229361403938201</v>
      </c>
      <c r="D36" s="3">
        <v>2.4513947411907999</v>
      </c>
      <c r="E36" s="3">
        <v>1.5911546399949399</v>
      </c>
      <c r="F36" s="3">
        <v>2.49860158805786</v>
      </c>
      <c r="G36" s="3">
        <v>2.2091821902264499</v>
      </c>
      <c r="H36" s="3">
        <v>2.9629553719311401</v>
      </c>
      <c r="I36" s="3">
        <v>4.1077508648050998</v>
      </c>
      <c r="J36" s="3">
        <v>2.3944215465773802</v>
      </c>
      <c r="K36" s="3">
        <v>1.82713110171233</v>
      </c>
      <c r="L36" s="3">
        <v>3.77189342152939</v>
      </c>
      <c r="M36" s="3">
        <v>3.0419841593649299</v>
      </c>
      <c r="N36" s="3">
        <v>2.56869480909211</v>
      </c>
      <c r="O36" s="3">
        <v>1.5955489392640001</v>
      </c>
      <c r="P36" s="3">
        <v>2.2016378074820699</v>
      </c>
      <c r="Q36" s="3">
        <v>3.92041157493468</v>
      </c>
      <c r="R36" s="3">
        <v>3.2097364385163201</v>
      </c>
      <c r="S36" s="3">
        <v>3.7250387175456501</v>
      </c>
      <c r="T36" s="3">
        <v>3.97222012386373</v>
      </c>
      <c r="U36" s="3">
        <v>2.3696612127978698</v>
      </c>
      <c r="V36" s="3">
        <v>4.0691919513025701</v>
      </c>
    </row>
    <row r="37" spans="1:22" x14ac:dyDescent="0.35">
      <c r="A37" s="2">
        <v>42905</v>
      </c>
      <c r="B37" s="3">
        <v>2.1451422680736401</v>
      </c>
      <c r="C37" s="3">
        <v>2.6575232872508598</v>
      </c>
      <c r="D37" s="3">
        <v>2.5558318089289802</v>
      </c>
      <c r="E37" s="3">
        <v>1.5514587874932799</v>
      </c>
      <c r="F37" s="3">
        <v>2.4939192241702801</v>
      </c>
      <c r="G37" s="3">
        <v>2.2856467505962801</v>
      </c>
      <c r="H37" s="3">
        <v>2.9996725755968998</v>
      </c>
      <c r="I37" s="3">
        <v>4.0061818673901897</v>
      </c>
      <c r="J37" s="3">
        <v>2.4944692514098801</v>
      </c>
      <c r="K37" s="3">
        <v>1.7687797324099299</v>
      </c>
      <c r="L37" s="3">
        <v>3.6981946279342401</v>
      </c>
      <c r="M37" s="3">
        <v>3.3865371149810701</v>
      </c>
      <c r="N37" s="3">
        <v>2.5344206323627101</v>
      </c>
      <c r="O37" s="3">
        <v>1.6096304792866101</v>
      </c>
      <c r="P37" s="3">
        <v>2.1590728475607999</v>
      </c>
      <c r="Q37" s="3">
        <v>4.4041405443572996</v>
      </c>
      <c r="R37" s="3">
        <v>3.1916658321417302</v>
      </c>
      <c r="S37" s="3">
        <v>3.5755628987864099</v>
      </c>
      <c r="T37" s="3">
        <v>4.0751097259176499</v>
      </c>
      <c r="U37" s="3">
        <v>1.8776110337662499</v>
      </c>
      <c r="V37" s="3">
        <v>3.84437983839956</v>
      </c>
    </row>
    <row r="38" spans="1:22" x14ac:dyDescent="0.35">
      <c r="A38" s="2">
        <v>42935</v>
      </c>
      <c r="B38" s="3">
        <v>2.1268789897047098</v>
      </c>
      <c r="C38" s="3">
        <v>2.5613163436803799</v>
      </c>
      <c r="D38" s="3">
        <v>2.55955039948166</v>
      </c>
      <c r="E38" s="3">
        <v>1.5657001523018601</v>
      </c>
      <c r="F38" s="3">
        <v>2.3995322722504002</v>
      </c>
      <c r="G38" s="3">
        <v>2.25829963197409</v>
      </c>
      <c r="H38" s="3">
        <v>3.0581747700183102</v>
      </c>
      <c r="I38" s="3">
        <v>3.9514567643421299</v>
      </c>
      <c r="J38" s="3">
        <v>2.3759321878262001</v>
      </c>
      <c r="K38" s="3">
        <v>1.74285657214533</v>
      </c>
      <c r="L38" s="3">
        <v>3.5034851010602601</v>
      </c>
      <c r="M38" s="3">
        <v>3.21336380402954</v>
      </c>
      <c r="N38" s="3">
        <v>2.4251096386643498</v>
      </c>
      <c r="O38" s="3">
        <v>1.5557919173194901</v>
      </c>
      <c r="P38" s="3">
        <v>2.1054304526607899</v>
      </c>
      <c r="Q38" s="3">
        <v>4.1375379639000496</v>
      </c>
      <c r="R38" s="3">
        <v>3.2576920545936301</v>
      </c>
      <c r="S38" s="3">
        <v>3.4826155312710401</v>
      </c>
      <c r="T38" s="3">
        <v>3.91978476221376</v>
      </c>
      <c r="U38" s="3">
        <v>1.56361139184588</v>
      </c>
      <c r="V38" s="3">
        <v>3.7450704216372301</v>
      </c>
    </row>
    <row r="39" spans="1:22" x14ac:dyDescent="0.35">
      <c r="A39" s="2">
        <v>42965</v>
      </c>
      <c r="B39" s="3">
        <v>2.1925053803416898</v>
      </c>
      <c r="C39" s="3">
        <v>2.5904862317406701</v>
      </c>
      <c r="D39" s="3">
        <v>2.5443791840857601</v>
      </c>
      <c r="E39" s="3">
        <v>1.5584586446658999</v>
      </c>
      <c r="F39" s="3">
        <v>2.4563265713859499</v>
      </c>
      <c r="G39" s="3">
        <v>2.2498359610782201</v>
      </c>
      <c r="H39" s="3">
        <v>3.0340250561936699</v>
      </c>
      <c r="I39" s="3">
        <v>4.0469325601627499</v>
      </c>
      <c r="J39" s="3">
        <v>2.37233864619671</v>
      </c>
      <c r="K39" s="3">
        <v>1.8347375260892</v>
      </c>
      <c r="L39" s="3">
        <v>3.37258072560773</v>
      </c>
      <c r="M39" s="3">
        <v>3.1834701134374899</v>
      </c>
      <c r="N39" s="3">
        <v>2.6092033195791098</v>
      </c>
      <c r="O39" s="3">
        <v>1.5549487690082699</v>
      </c>
      <c r="P39" s="3">
        <v>2.1480754678066898</v>
      </c>
      <c r="Q39" s="3">
        <v>4.2562978850336401</v>
      </c>
      <c r="R39" s="3">
        <v>3.2379057654603698</v>
      </c>
      <c r="S39" s="3">
        <v>3.79357289311791</v>
      </c>
      <c r="T39" s="3">
        <v>4.0537676874366797</v>
      </c>
      <c r="U39" s="3">
        <v>1.7668450635428199</v>
      </c>
      <c r="V39" s="3">
        <v>4.05666734163374</v>
      </c>
    </row>
    <row r="40" spans="1:22" x14ac:dyDescent="0.35">
      <c r="A40" s="2">
        <v>42997</v>
      </c>
      <c r="B40" s="3">
        <v>2.1504630721596101</v>
      </c>
      <c r="C40" s="3">
        <v>2.4924961417062201</v>
      </c>
      <c r="D40" s="3">
        <v>2.5739260301618399</v>
      </c>
      <c r="E40" s="3">
        <v>1.52153284967249</v>
      </c>
      <c r="F40" s="3">
        <v>2.5837070680943799</v>
      </c>
      <c r="G40" s="3">
        <v>2.2579311884314301</v>
      </c>
      <c r="H40" s="3">
        <v>3.0219700608329001</v>
      </c>
      <c r="I40" s="3">
        <v>4.0502097558334098</v>
      </c>
      <c r="J40" s="3">
        <v>2.4526889531072298</v>
      </c>
      <c r="K40" s="3">
        <v>1.7903479209351201</v>
      </c>
      <c r="L40" s="3">
        <v>3.1147957076041299</v>
      </c>
      <c r="M40" s="3">
        <v>3.3315875493431899</v>
      </c>
      <c r="N40" s="3">
        <v>2.79147458122298</v>
      </c>
      <c r="O40" s="3">
        <v>1.51715965679261</v>
      </c>
      <c r="P40" s="3">
        <v>2.08086942848084</v>
      </c>
      <c r="Q40" s="3">
        <v>4.8852406495807701</v>
      </c>
      <c r="R40" s="3">
        <v>3.0075232583171698</v>
      </c>
      <c r="S40" s="3">
        <v>4.0440191435054498</v>
      </c>
      <c r="T40" s="3">
        <v>4.0925857358522801</v>
      </c>
      <c r="U40" s="3">
        <v>1.7190144147298101</v>
      </c>
      <c r="V40" s="3">
        <v>4.2222247707465597</v>
      </c>
    </row>
    <row r="41" spans="1:22" x14ac:dyDescent="0.35">
      <c r="A41" s="2">
        <v>43027</v>
      </c>
      <c r="B41" s="3">
        <v>2.1432283206977001</v>
      </c>
      <c r="C41" s="3">
        <v>2.8310270794221699</v>
      </c>
      <c r="D41" s="3">
        <v>2.5529409694648901</v>
      </c>
      <c r="E41" s="3">
        <v>1.4323332680188401</v>
      </c>
      <c r="F41" s="3">
        <v>2.4308640122621501</v>
      </c>
      <c r="G41" s="3">
        <v>2.4035330724861401</v>
      </c>
      <c r="H41" s="3">
        <v>3.1120596455782201</v>
      </c>
      <c r="I41" s="3">
        <v>3.9964285534819401</v>
      </c>
      <c r="J41" s="3">
        <v>2.4881955683447701</v>
      </c>
      <c r="K41" s="3">
        <v>1.73011362199217</v>
      </c>
      <c r="L41" s="3">
        <v>3.1864175692199899</v>
      </c>
      <c r="M41" s="3">
        <v>3.2374791790934698</v>
      </c>
      <c r="N41" s="3">
        <v>2.8550607932521901</v>
      </c>
      <c r="O41" s="3">
        <v>1.533788418676</v>
      </c>
      <c r="P41" s="3">
        <v>2.0824129715422601</v>
      </c>
      <c r="Q41" s="3">
        <v>4.5114375097659698</v>
      </c>
      <c r="R41" s="3">
        <v>3.0444371514467399</v>
      </c>
      <c r="S41" s="3">
        <v>4.0868193943751701</v>
      </c>
      <c r="T41" s="3">
        <v>4.1821482119226099</v>
      </c>
      <c r="U41" s="3">
        <v>1.8552329732547901</v>
      </c>
      <c r="V41" s="3">
        <v>4.3988550716274597</v>
      </c>
    </row>
    <row r="42" spans="1:22" x14ac:dyDescent="0.35">
      <c r="A42" s="2">
        <v>43056</v>
      </c>
      <c r="B42" s="3">
        <v>2.0822973701106902</v>
      </c>
      <c r="C42" s="3">
        <v>2.9337676847332599</v>
      </c>
      <c r="D42" s="3">
        <v>2.5913632018369901</v>
      </c>
      <c r="E42" s="3">
        <v>1.4977653977004799</v>
      </c>
      <c r="F42" s="3">
        <v>2.4783886143862501</v>
      </c>
      <c r="G42" s="3">
        <v>2.7068548044534602</v>
      </c>
      <c r="H42" s="3">
        <v>3.27652337705327</v>
      </c>
      <c r="I42" s="3">
        <v>4.0518323166975501</v>
      </c>
      <c r="J42" s="3">
        <v>2.5347932287752202</v>
      </c>
      <c r="K42" s="3">
        <v>1.9597449991520799</v>
      </c>
      <c r="L42" s="3">
        <v>3.41703934926218</v>
      </c>
      <c r="M42" s="3">
        <v>3.1384056290446898</v>
      </c>
      <c r="N42" s="3">
        <v>3.1957852744321902</v>
      </c>
      <c r="O42" s="3">
        <v>1.53121236865849</v>
      </c>
      <c r="P42" s="3">
        <v>2.0099365353324501</v>
      </c>
      <c r="Q42" s="3">
        <v>4.6558023569252303</v>
      </c>
      <c r="R42" s="3">
        <v>3.0107285905035099</v>
      </c>
      <c r="S42" s="3">
        <v>4.27844671176807</v>
      </c>
      <c r="T42" s="3">
        <v>4.4528270361693103</v>
      </c>
      <c r="U42" s="3">
        <v>1.9177762490166399</v>
      </c>
      <c r="V42" s="3">
        <v>4.3480919447548096</v>
      </c>
    </row>
    <row r="43" spans="1:22" x14ac:dyDescent="0.35">
      <c r="A43" s="2">
        <v>43088</v>
      </c>
      <c r="B43" s="3">
        <v>2.2019847343671701</v>
      </c>
      <c r="C43" s="3">
        <v>2.9734981677202099</v>
      </c>
      <c r="D43" s="3">
        <v>2.5996176756892302</v>
      </c>
      <c r="E43" s="3">
        <v>1.56562572873105</v>
      </c>
      <c r="F43" s="3">
        <v>2.80963634653697</v>
      </c>
      <c r="G43" s="3">
        <v>2.8499690973265102</v>
      </c>
      <c r="H43" s="3">
        <v>3.25259353539436</v>
      </c>
      <c r="I43" s="3">
        <v>4.2201739070591904</v>
      </c>
      <c r="J43" s="3">
        <v>2.5379882140136201</v>
      </c>
      <c r="K43" s="3">
        <v>2.0459290722264099</v>
      </c>
      <c r="L43" s="3">
        <v>3.5763597252544899</v>
      </c>
      <c r="M43" s="3">
        <v>3.3888965599699801</v>
      </c>
      <c r="N43" s="3">
        <v>2.6556832294105002</v>
      </c>
      <c r="O43" s="3">
        <v>1.5197280128845501</v>
      </c>
      <c r="P43" s="3">
        <v>2.08929702601649</v>
      </c>
      <c r="Q43" s="3">
        <v>4.2884000997426002</v>
      </c>
      <c r="R43" s="3">
        <v>3.0257309036882498</v>
      </c>
      <c r="S43" s="3">
        <v>4.22872711752846</v>
      </c>
      <c r="T43" s="3">
        <v>4.50971517643256</v>
      </c>
      <c r="U43" s="3">
        <v>1.63322483719415</v>
      </c>
      <c r="V43" s="3">
        <v>4.2878093895704197</v>
      </c>
    </row>
    <row r="44" spans="1:22" x14ac:dyDescent="0.35">
      <c r="A44" s="2">
        <v>43119</v>
      </c>
      <c r="B44" s="3">
        <v>2.1095078234916298</v>
      </c>
      <c r="C44" s="3">
        <v>2.7479712562256702</v>
      </c>
      <c r="D44" s="3">
        <v>2.4671173109959401</v>
      </c>
      <c r="E44" s="3">
        <v>1.5138053649747301</v>
      </c>
      <c r="F44" s="3">
        <v>2.7350767129168001</v>
      </c>
      <c r="G44" s="3">
        <v>2.5658474494152799</v>
      </c>
      <c r="H44" s="3">
        <v>3.12012894246232</v>
      </c>
      <c r="I44" s="3">
        <v>4.0313517287691401</v>
      </c>
      <c r="J44" s="3">
        <v>2.4743119229314798</v>
      </c>
      <c r="K44" s="3">
        <v>2.0138991449898098</v>
      </c>
      <c r="L44" s="3">
        <v>3.2826605538956701</v>
      </c>
      <c r="M44" s="3">
        <v>3.3107797263455998</v>
      </c>
      <c r="N44" s="3">
        <v>2.5872161309297201</v>
      </c>
      <c r="O44" s="3">
        <v>1.4634156002718901</v>
      </c>
      <c r="P44" s="3">
        <v>1.9584836225179201</v>
      </c>
      <c r="Q44" s="3">
        <v>4.1084849430148704</v>
      </c>
      <c r="R44" s="3">
        <v>2.8812822277624002</v>
      </c>
      <c r="S44" s="3">
        <v>4.0257703273750298</v>
      </c>
      <c r="T44" s="3">
        <v>4.1812280764956702</v>
      </c>
      <c r="U44" s="3">
        <v>1.53009238612083</v>
      </c>
      <c r="V44" s="3">
        <v>4.1783389710313701</v>
      </c>
    </row>
    <row r="45" spans="1:22" x14ac:dyDescent="0.35">
      <c r="A45" s="2">
        <v>43147</v>
      </c>
      <c r="B45" s="3">
        <v>2.3249727774028002</v>
      </c>
      <c r="C45" s="3">
        <v>3.0160241628419402</v>
      </c>
      <c r="D45" s="3">
        <v>2.4769699489458499</v>
      </c>
      <c r="E45" s="3">
        <v>1.55025987104687</v>
      </c>
      <c r="F45" s="3">
        <v>2.9914017172926601</v>
      </c>
      <c r="G45" s="3">
        <v>2.51930944419881</v>
      </c>
      <c r="H45" s="3">
        <v>3.1273941080848702</v>
      </c>
      <c r="I45" s="3">
        <v>4.31142778466364</v>
      </c>
      <c r="J45" s="3">
        <v>2.6270657292145598</v>
      </c>
      <c r="K45" s="3">
        <v>2.14620088666938</v>
      </c>
      <c r="L45" s="3">
        <v>3.3792446642546299</v>
      </c>
      <c r="M45" s="3">
        <v>3.2857196225051002</v>
      </c>
      <c r="N45" s="3">
        <v>2.7945618334358802</v>
      </c>
      <c r="O45" s="3">
        <v>1.5675874745676699</v>
      </c>
      <c r="P45" s="3">
        <v>2.08170325913802</v>
      </c>
      <c r="Q45" s="3">
        <v>4.5556610899293801</v>
      </c>
      <c r="R45" s="3">
        <v>2.9651128142145802</v>
      </c>
      <c r="S45" s="3">
        <v>4.16404581837587</v>
      </c>
      <c r="T45" s="3">
        <v>4.3558331036895499</v>
      </c>
      <c r="U45" s="3">
        <v>1.8136516941597201</v>
      </c>
      <c r="V45" s="3">
        <v>4.2305341105524104</v>
      </c>
    </row>
    <row r="46" spans="1:22" x14ac:dyDescent="0.35">
      <c r="A46" s="2">
        <v>43178</v>
      </c>
      <c r="B46" s="3">
        <v>2.2994259330914502</v>
      </c>
      <c r="C46" s="3">
        <v>3.1167618618678499</v>
      </c>
      <c r="D46" s="3">
        <v>2.6476954154766901</v>
      </c>
      <c r="E46" s="3">
        <v>1.6028009667110401</v>
      </c>
      <c r="F46" s="3">
        <v>3.1276067950239099</v>
      </c>
      <c r="G46" s="3">
        <v>2.2241860165833698</v>
      </c>
      <c r="H46" s="3">
        <v>3.2051412934606902</v>
      </c>
      <c r="I46" s="3">
        <v>4.0956821477253804</v>
      </c>
      <c r="J46" s="3">
        <v>2.6236483434948199</v>
      </c>
      <c r="K46" s="3">
        <v>2.1687941933231998</v>
      </c>
      <c r="L46" s="3">
        <v>3.5128674439193301</v>
      </c>
      <c r="M46" s="3">
        <v>3.13601976323746</v>
      </c>
      <c r="N46" s="3">
        <v>3.1677949309580602</v>
      </c>
      <c r="O46" s="3">
        <v>1.61919442572572</v>
      </c>
      <c r="P46" s="3">
        <v>2.0710830815311798</v>
      </c>
      <c r="Q46" s="3">
        <v>4.8649655972130796</v>
      </c>
      <c r="R46" s="3">
        <v>3.01085233342291</v>
      </c>
      <c r="S46" s="3">
        <v>4.44013851256907</v>
      </c>
      <c r="T46" s="3">
        <v>4.50054603377124</v>
      </c>
      <c r="U46" s="3">
        <v>1.6906125127306899</v>
      </c>
      <c r="V46" s="3">
        <v>4.0108539550091598</v>
      </c>
    </row>
    <row r="47" spans="1:22" x14ac:dyDescent="0.35">
      <c r="A47" s="2">
        <v>43209</v>
      </c>
      <c r="B47" s="3">
        <v>2.5136845436353101</v>
      </c>
      <c r="C47" s="3">
        <v>3.0512516774279299</v>
      </c>
      <c r="D47" s="3">
        <v>2.6630912489946201</v>
      </c>
      <c r="E47" s="3">
        <v>1.75021552110181</v>
      </c>
      <c r="F47" s="3">
        <v>2.9537139003021702</v>
      </c>
      <c r="G47" s="3">
        <v>2.0828718319634998</v>
      </c>
      <c r="H47" s="3">
        <v>3.1360642698524099</v>
      </c>
      <c r="I47" s="3">
        <v>4.1884779069695002</v>
      </c>
      <c r="J47" s="3">
        <v>2.59770640462304</v>
      </c>
      <c r="K47" s="3">
        <v>2.1858676805069299</v>
      </c>
      <c r="L47" s="3">
        <v>3.6093793792828799</v>
      </c>
      <c r="M47" s="3">
        <v>3.25241894395602</v>
      </c>
      <c r="N47" s="3">
        <v>2.92345752514797</v>
      </c>
      <c r="O47" s="3">
        <v>1.60187147674079</v>
      </c>
      <c r="P47" s="3">
        <v>2.29389780289844</v>
      </c>
      <c r="Q47" s="3">
        <v>4.6455573898155897</v>
      </c>
      <c r="R47" s="3">
        <v>3.0276718716033901</v>
      </c>
      <c r="S47" s="3">
        <v>4.7246896722439002</v>
      </c>
      <c r="T47" s="3">
        <v>4.7606883195068601</v>
      </c>
      <c r="U47" s="3">
        <v>1.94592185927896</v>
      </c>
      <c r="V47" s="3">
        <v>3.7324887863169498</v>
      </c>
    </row>
    <row r="48" spans="1:22" x14ac:dyDescent="0.35">
      <c r="A48" s="2">
        <v>43238</v>
      </c>
      <c r="B48" s="3">
        <v>2.66772673044315</v>
      </c>
      <c r="C48" s="3">
        <v>3.26901531215174</v>
      </c>
      <c r="D48" s="3">
        <v>3.1196598268384301</v>
      </c>
      <c r="E48" s="3">
        <v>1.7487868865746099</v>
      </c>
      <c r="F48" s="3">
        <v>3.0878317640526398</v>
      </c>
      <c r="G48" s="3">
        <v>4.6945559600009004</v>
      </c>
      <c r="H48" s="3">
        <v>3.21354602640222</v>
      </c>
      <c r="I48" s="3">
        <v>4.3557095784788</v>
      </c>
      <c r="J48" s="3">
        <v>2.89013245044069</v>
      </c>
      <c r="K48" s="3">
        <v>2.2344989283662899</v>
      </c>
      <c r="L48" s="3">
        <v>3.8525172256963498</v>
      </c>
      <c r="M48" s="3">
        <v>3.4094478895057301</v>
      </c>
      <c r="N48" s="3">
        <v>3.2946371288351401</v>
      </c>
      <c r="O48" s="3">
        <v>1.6486703998594601</v>
      </c>
      <c r="P48" s="3">
        <v>2.2468915272782999</v>
      </c>
      <c r="Q48" s="3">
        <v>4.8518125821037597</v>
      </c>
      <c r="R48" s="3">
        <v>3.1061312393863298</v>
      </c>
      <c r="S48" s="3">
        <v>5.2331075319783196</v>
      </c>
      <c r="T48" s="3">
        <v>4.9671405433946303</v>
      </c>
      <c r="U48" s="3">
        <v>1.74168276279057</v>
      </c>
      <c r="V48" s="3">
        <v>3.8457311878383802</v>
      </c>
    </row>
    <row r="49" spans="1:22" x14ac:dyDescent="0.35">
      <c r="A49" s="2">
        <v>43270</v>
      </c>
      <c r="B49" s="3">
        <v>2.8403807972150998</v>
      </c>
      <c r="C49" s="3">
        <v>3.2977641426870501</v>
      </c>
      <c r="D49" s="3">
        <v>3.0077638694117899</v>
      </c>
      <c r="E49" s="3">
        <v>1.8226123910348899</v>
      </c>
      <c r="F49" s="3">
        <v>3.2430457535806001</v>
      </c>
      <c r="G49" s="3">
        <v>1.9626016291184001</v>
      </c>
      <c r="H49" s="3">
        <v>3.3216320570648801</v>
      </c>
      <c r="I49" s="3">
        <v>4.3935048788401598</v>
      </c>
      <c r="J49" s="3">
        <v>2.8660912877543399</v>
      </c>
      <c r="K49" s="3">
        <v>2.3226848156608799</v>
      </c>
      <c r="L49" s="3">
        <v>4.4775113512514597</v>
      </c>
      <c r="M49" s="3">
        <v>3.6139567151003602</v>
      </c>
      <c r="N49" s="3">
        <v>3.3852954286028099</v>
      </c>
      <c r="O49" s="3">
        <v>1.6091645456464401</v>
      </c>
      <c r="P49" s="3">
        <v>2.3250664109754</v>
      </c>
      <c r="Q49" s="3">
        <v>4.8218364836846996</v>
      </c>
      <c r="R49" s="3">
        <v>3.3719205093049802</v>
      </c>
      <c r="S49" s="3">
        <v>5.5933156618655504</v>
      </c>
      <c r="T49" s="3">
        <v>4.9335592632585596</v>
      </c>
      <c r="U49" s="3">
        <v>1.63880954045873</v>
      </c>
      <c r="V49" s="3">
        <v>3.8128902325684702</v>
      </c>
    </row>
    <row r="50" spans="1:22" x14ac:dyDescent="0.35">
      <c r="A50" s="2">
        <v>43300</v>
      </c>
      <c r="B50" s="3">
        <v>3.0735789453071001</v>
      </c>
      <c r="C50" s="3">
        <v>3.3103488850009</v>
      </c>
      <c r="D50" s="3">
        <v>3.1230405576757998</v>
      </c>
      <c r="E50" s="3">
        <v>1.78551969981092</v>
      </c>
      <c r="F50" s="3">
        <v>3.0148792432467002</v>
      </c>
      <c r="G50" s="3">
        <v>2.1173545216476599</v>
      </c>
      <c r="H50" s="3">
        <v>3.24275309504038</v>
      </c>
      <c r="I50" s="3">
        <v>4.4390217450241103</v>
      </c>
      <c r="J50" s="3">
        <v>2.7211418310543198</v>
      </c>
      <c r="K50" s="3">
        <v>2.3681803001348598</v>
      </c>
      <c r="L50" s="3">
        <v>4.2409892998188301</v>
      </c>
      <c r="M50" s="3">
        <v>3.6312204366560001</v>
      </c>
      <c r="N50" s="3">
        <v>3.42034406525377</v>
      </c>
      <c r="O50" s="3">
        <v>1.5964111540722701</v>
      </c>
      <c r="P50" s="3">
        <v>2.42851275678558</v>
      </c>
      <c r="Q50" s="3">
        <v>4.6706506049799001</v>
      </c>
      <c r="R50" s="3">
        <v>3.3653814865726601</v>
      </c>
      <c r="S50" s="3">
        <v>5.5791343070422004</v>
      </c>
      <c r="T50" s="3">
        <v>4.7418793606945204</v>
      </c>
      <c r="U50" s="3">
        <v>1.7990332525039801</v>
      </c>
      <c r="V50" s="3">
        <v>3.76427222880482</v>
      </c>
    </row>
    <row r="51" spans="1:22" x14ac:dyDescent="0.35">
      <c r="A51" s="2">
        <v>43329</v>
      </c>
      <c r="B51" s="3">
        <v>3.3151157536919298</v>
      </c>
      <c r="C51" s="3">
        <v>3.4094549163555601</v>
      </c>
      <c r="D51" s="3">
        <v>3.1252595314408298</v>
      </c>
      <c r="E51" s="3">
        <v>1.76630355115084</v>
      </c>
      <c r="F51" s="3">
        <v>2.9197478581845999</v>
      </c>
      <c r="G51" s="3">
        <v>4.4123134363492804</v>
      </c>
      <c r="H51" s="3">
        <v>3.2164589311810601</v>
      </c>
      <c r="I51" s="3">
        <v>4.4927956585661599</v>
      </c>
      <c r="J51" s="3">
        <v>2.8192915557639502</v>
      </c>
      <c r="K51" s="3">
        <v>2.4445132326024002</v>
      </c>
      <c r="L51" s="3">
        <v>4.3600187168261799</v>
      </c>
      <c r="M51" s="3">
        <v>3.73681267836244</v>
      </c>
      <c r="N51" s="3">
        <v>3.73774602904968</v>
      </c>
      <c r="O51" s="3">
        <v>1.50643174536114</v>
      </c>
      <c r="P51" s="3">
        <v>2.5964150286407799</v>
      </c>
      <c r="Q51" s="3">
        <v>4.5783620998003398</v>
      </c>
      <c r="R51" s="3">
        <v>3.2731277000352601</v>
      </c>
      <c r="S51" s="3">
        <v>5.7813157634785401</v>
      </c>
      <c r="T51" s="3">
        <v>4.7556576346738897</v>
      </c>
      <c r="U51" s="3">
        <v>1.51602796850531</v>
      </c>
      <c r="V51" s="3">
        <v>4.1474689713940398</v>
      </c>
    </row>
    <row r="52" spans="1:22" x14ac:dyDescent="0.35">
      <c r="A52" s="2">
        <v>43362</v>
      </c>
      <c r="B52" s="3">
        <v>3.17746475627</v>
      </c>
      <c r="C52" s="3">
        <v>3.34736180632384</v>
      </c>
      <c r="D52" s="3">
        <v>3.0578448563448202</v>
      </c>
      <c r="E52" s="3">
        <v>1.8511163256019301</v>
      </c>
      <c r="F52" s="3">
        <v>2.9908318775063001</v>
      </c>
      <c r="G52" s="3">
        <v>2.4510516909939599</v>
      </c>
      <c r="H52" s="3">
        <v>3.20186973362738</v>
      </c>
      <c r="I52" s="3">
        <v>4.4520472145676599</v>
      </c>
      <c r="J52" s="3">
        <v>2.7487431902064099</v>
      </c>
      <c r="K52" s="3">
        <v>2.4077278052061701</v>
      </c>
      <c r="L52" s="3">
        <v>4.3312469108755201</v>
      </c>
      <c r="M52" s="3">
        <v>3.7688376326036499</v>
      </c>
      <c r="N52" s="3">
        <v>3.7813940357665601</v>
      </c>
      <c r="O52" s="3">
        <v>1.5368129941792299</v>
      </c>
      <c r="P52" s="3">
        <v>2.6346652055378401</v>
      </c>
      <c r="Q52" s="3">
        <v>4.4257642281487497</v>
      </c>
      <c r="R52" s="3">
        <v>3.20481887875758</v>
      </c>
      <c r="S52" s="3">
        <v>5.5575432254007504</v>
      </c>
      <c r="T52" s="3">
        <v>4.83424681310645</v>
      </c>
      <c r="U52" s="3">
        <v>1.73082788180667</v>
      </c>
      <c r="V52" s="3">
        <v>4.3628680002691897</v>
      </c>
    </row>
    <row r="53" spans="1:22" x14ac:dyDescent="0.35">
      <c r="A53" s="2">
        <v>43392</v>
      </c>
      <c r="B53" s="3">
        <v>3.3801534535126501</v>
      </c>
      <c r="C53" s="3">
        <v>3.0241494976277599</v>
      </c>
      <c r="D53" s="3">
        <v>3.0935619154137801</v>
      </c>
      <c r="E53" s="3">
        <v>1.8918061849359999</v>
      </c>
      <c r="F53" s="3">
        <v>3.1561345021459699</v>
      </c>
      <c r="G53" s="3">
        <v>2.4119623827964398</v>
      </c>
      <c r="H53" s="3">
        <v>3.3665673889093002</v>
      </c>
      <c r="I53" s="3">
        <v>4.9501346631584404</v>
      </c>
      <c r="J53" s="3">
        <v>2.9402040921197199</v>
      </c>
      <c r="K53" s="3">
        <v>2.5610284182077399</v>
      </c>
      <c r="L53" s="3">
        <v>4.07287103299217</v>
      </c>
      <c r="M53" s="3">
        <v>4.1410702347237303</v>
      </c>
      <c r="N53" s="3">
        <v>4.2510502866799804</v>
      </c>
      <c r="O53" s="3">
        <v>1.70901378657708</v>
      </c>
      <c r="P53" s="3">
        <v>2.8933248776306102</v>
      </c>
      <c r="Q53" s="3">
        <v>4.2787594737735404</v>
      </c>
      <c r="R53" s="3">
        <v>3.3627042105842402</v>
      </c>
      <c r="S53" s="3">
        <v>5.4035129822912902</v>
      </c>
      <c r="T53" s="3">
        <v>4.9368496589764499</v>
      </c>
      <c r="U53" s="3">
        <v>1.7245032800721301</v>
      </c>
      <c r="V53" s="3">
        <v>4.3437569033328796</v>
      </c>
    </row>
    <row r="54" spans="1:22" x14ac:dyDescent="0.35">
      <c r="A54" s="2">
        <v>43423</v>
      </c>
      <c r="B54" s="3">
        <v>3.1826735034873099</v>
      </c>
      <c r="C54" s="3">
        <v>2.9801968881212599</v>
      </c>
      <c r="D54" s="3">
        <v>2.91873945384783</v>
      </c>
      <c r="E54" s="3">
        <v>1.8616359218215399</v>
      </c>
      <c r="F54" s="3">
        <v>3.1935430444630701</v>
      </c>
      <c r="G54" s="3">
        <v>2.2384601066843399</v>
      </c>
      <c r="H54" s="3">
        <v>3.35981085255347</v>
      </c>
      <c r="I54" s="3">
        <v>4.87059675526839</v>
      </c>
      <c r="J54" s="3">
        <v>3.4209820694506501</v>
      </c>
      <c r="K54" s="3">
        <v>2.60267697899463</v>
      </c>
      <c r="L54" s="3">
        <v>3.9229866188352598</v>
      </c>
      <c r="M54" s="3">
        <v>3.9992841338976701</v>
      </c>
      <c r="N54" s="3">
        <v>4.3500651953109202</v>
      </c>
      <c r="O54" s="3">
        <v>1.6358814083059201</v>
      </c>
      <c r="P54" s="3">
        <v>2.7678856726720702</v>
      </c>
      <c r="Q54" s="3">
        <v>4.2771974125259504</v>
      </c>
      <c r="R54" s="3">
        <v>3.4377078090362199</v>
      </c>
      <c r="S54" s="3">
        <v>5.24452632154133</v>
      </c>
      <c r="T54" s="3">
        <v>4.8312965605818796</v>
      </c>
      <c r="U54" s="3">
        <v>1.95616960979374</v>
      </c>
      <c r="V54" s="3">
        <v>4.4726035648443396</v>
      </c>
    </row>
    <row r="55" spans="1:22" x14ac:dyDescent="0.35">
      <c r="A55" s="2">
        <v>43453</v>
      </c>
      <c r="B55" s="3">
        <v>3.2911185757914398</v>
      </c>
      <c r="C55" s="3">
        <v>3.1467278239529999</v>
      </c>
      <c r="D55" s="3">
        <v>2.8361149781509298</v>
      </c>
      <c r="E55" s="3">
        <v>1.76220172878</v>
      </c>
      <c r="F55" s="3">
        <v>3.0606748849803198</v>
      </c>
      <c r="G55" s="3">
        <v>2.4001848510278898</v>
      </c>
      <c r="H55" s="3">
        <v>3.3606022109597302</v>
      </c>
      <c r="I55" s="3">
        <v>4.8959143565381904</v>
      </c>
      <c r="J55" s="3">
        <v>3.45484695124552</v>
      </c>
      <c r="K55" s="3">
        <v>2.60506709276653</v>
      </c>
      <c r="L55" s="3">
        <v>4.0770856022149404</v>
      </c>
      <c r="M55" s="3">
        <v>3.9467697285693402</v>
      </c>
      <c r="N55" s="3">
        <v>4.4011280151636001</v>
      </c>
      <c r="O55" s="3">
        <v>1.6187482859537901</v>
      </c>
      <c r="P55" s="3">
        <v>2.8352097410978399</v>
      </c>
      <c r="Q55" s="3">
        <v>4.4882736513753603</v>
      </c>
      <c r="R55" s="3">
        <v>3.5143037822049199</v>
      </c>
      <c r="S55" s="3">
        <v>5.1597854596724604</v>
      </c>
      <c r="T55" s="3">
        <v>5.1470745190026497</v>
      </c>
      <c r="U55" s="3">
        <v>1.5850826675772101</v>
      </c>
      <c r="V55" s="3">
        <v>4.2161654452055997</v>
      </c>
    </row>
    <row r="56" spans="1:22" x14ac:dyDescent="0.35">
      <c r="A56" s="2">
        <v>43483</v>
      </c>
      <c r="B56" s="3">
        <v>3.21565450679857</v>
      </c>
      <c r="C56" s="3">
        <v>2.9104974931863699</v>
      </c>
      <c r="D56" s="3">
        <v>2.7431738295182502</v>
      </c>
      <c r="E56" s="3">
        <v>1.6549321910914601</v>
      </c>
      <c r="F56" s="3">
        <v>2.9999047431700601</v>
      </c>
      <c r="G56" s="3">
        <v>2.2980948977074398</v>
      </c>
      <c r="H56" s="3">
        <v>3.26177528153897</v>
      </c>
      <c r="I56" s="3">
        <v>4.7344675903462203</v>
      </c>
      <c r="J56" s="3">
        <v>3.2358695516552798</v>
      </c>
      <c r="K56" s="3">
        <v>2.55069191093384</v>
      </c>
      <c r="L56" s="3">
        <v>3.7139107043645501</v>
      </c>
      <c r="M56" s="3">
        <v>3.7344639613710502</v>
      </c>
      <c r="N56" s="3">
        <v>4.3386361409418299</v>
      </c>
      <c r="O56" s="3">
        <v>1.6510520352648199</v>
      </c>
      <c r="P56" s="3">
        <v>2.6602192275638301</v>
      </c>
      <c r="Q56" s="3">
        <v>4.3607440912421902</v>
      </c>
      <c r="R56" s="3">
        <v>3.4843758612246698</v>
      </c>
      <c r="S56" s="3">
        <v>4.5905592263734496</v>
      </c>
      <c r="T56" s="3">
        <v>5.2099115364993098</v>
      </c>
      <c r="U56" s="3">
        <v>1.7909513862762001</v>
      </c>
      <c r="V56" s="3">
        <v>3.9161413662043398</v>
      </c>
    </row>
    <row r="57" spans="1:22" x14ac:dyDescent="0.35">
      <c r="A57" s="2">
        <v>43515</v>
      </c>
      <c r="B57" s="3">
        <v>2.9793319793392001</v>
      </c>
      <c r="C57" s="3">
        <v>2.95420893051595</v>
      </c>
      <c r="D57" s="3">
        <v>2.8464123223434301</v>
      </c>
      <c r="E57" s="3">
        <v>1.71416520313128</v>
      </c>
      <c r="F57" s="3">
        <v>3.0519829239317202</v>
      </c>
      <c r="G57" s="3">
        <v>2.17752560136634</v>
      </c>
      <c r="H57" s="3">
        <v>3.2477835335398</v>
      </c>
      <c r="I57" s="3">
        <v>4.5504430154168896</v>
      </c>
      <c r="J57" s="3">
        <v>3.3427626047038199</v>
      </c>
      <c r="K57" s="3">
        <v>2.4669602438728799</v>
      </c>
      <c r="L57" s="3">
        <v>3.4912799549493698</v>
      </c>
      <c r="M57" s="3">
        <v>3.8399713554774602</v>
      </c>
      <c r="N57" s="3">
        <v>4.0624822712583297</v>
      </c>
      <c r="O57" s="3">
        <v>1.69286384058004</v>
      </c>
      <c r="P57" s="3">
        <v>2.5460296378771798</v>
      </c>
      <c r="Q57" s="3">
        <v>4.6979667038779498</v>
      </c>
      <c r="R57" s="3">
        <v>3.3080391220340002</v>
      </c>
      <c r="S57" s="3">
        <v>4.6515081510828704</v>
      </c>
      <c r="T57" s="3">
        <v>5.3115617608873897</v>
      </c>
      <c r="U57" s="3">
        <v>1.6967421672334999</v>
      </c>
      <c r="V57" s="3">
        <v>3.9227925816265601</v>
      </c>
    </row>
    <row r="58" spans="1:22" x14ac:dyDescent="0.35">
      <c r="A58" s="2">
        <v>43543</v>
      </c>
      <c r="B58" s="3">
        <v>2.7537195542864601</v>
      </c>
      <c r="C58" s="3">
        <v>3.03196746077563</v>
      </c>
      <c r="D58" s="3">
        <v>2.79267661006035</v>
      </c>
      <c r="E58" s="3">
        <v>1.75033808046828</v>
      </c>
      <c r="F58" s="3">
        <v>3.0411377853482202</v>
      </c>
      <c r="G58" s="3">
        <v>2.22785798748993</v>
      </c>
      <c r="H58" s="3">
        <v>3.30959120840373</v>
      </c>
      <c r="I58" s="3">
        <v>4.3441512786717702</v>
      </c>
      <c r="J58" s="3">
        <v>3.4538750009986199</v>
      </c>
      <c r="K58" s="3">
        <v>2.5102487362749399</v>
      </c>
      <c r="L58" s="3">
        <v>3.30481689420776</v>
      </c>
      <c r="M58" s="3">
        <v>3.8769749313302002</v>
      </c>
      <c r="N58" s="3">
        <v>3.8319688159085201</v>
      </c>
      <c r="O58" s="3">
        <v>1.5756722677742501</v>
      </c>
      <c r="P58" s="3">
        <v>2.3980464180782501</v>
      </c>
      <c r="Q58" s="3">
        <v>4.66798986652715</v>
      </c>
      <c r="R58" s="3">
        <v>3.3237674183566299</v>
      </c>
      <c r="S58" s="3">
        <v>4.3784931106619904</v>
      </c>
      <c r="T58" s="3">
        <v>5.1829336325895801</v>
      </c>
      <c r="U58" s="3">
        <v>1.5901426763657101</v>
      </c>
      <c r="V58" s="3">
        <v>3.83699842279387</v>
      </c>
    </row>
    <row r="59" spans="1:22" x14ac:dyDescent="0.35">
      <c r="A59" s="2">
        <v>43573</v>
      </c>
      <c r="B59" s="3">
        <v>2.60134924518308</v>
      </c>
      <c r="C59" s="3">
        <v>2.9402019537975499</v>
      </c>
      <c r="D59" s="3">
        <v>2.7873605638288499</v>
      </c>
      <c r="E59" s="3">
        <v>1.7425376129833801</v>
      </c>
      <c r="F59" s="3">
        <v>3.0432453441107001</v>
      </c>
      <c r="G59" s="3">
        <v>2.3348490822730699</v>
      </c>
      <c r="H59" s="3">
        <v>3.4301102391241201</v>
      </c>
      <c r="I59" s="3">
        <v>4.20250288498874</v>
      </c>
      <c r="J59" s="3">
        <v>3.2802216151793</v>
      </c>
      <c r="K59" s="3">
        <v>2.4653127594395499</v>
      </c>
      <c r="L59" s="3">
        <v>3.4781042324870599</v>
      </c>
      <c r="M59" s="3">
        <v>3.6296755734775301</v>
      </c>
      <c r="N59" s="3">
        <v>3.5049865408396301</v>
      </c>
      <c r="O59" s="3">
        <v>1.6042651053153201</v>
      </c>
      <c r="P59" s="3">
        <v>2.3351032850270301</v>
      </c>
      <c r="Q59" s="3">
        <v>4.3048182946761999</v>
      </c>
      <c r="R59" s="3">
        <v>3.24691149274034</v>
      </c>
      <c r="S59" s="3">
        <v>5.0817891014906502</v>
      </c>
      <c r="T59" s="3">
        <v>4.80098049636646</v>
      </c>
      <c r="U59" s="3">
        <v>1.5945165974191799</v>
      </c>
      <c r="V59" s="3">
        <v>3.67982187089095</v>
      </c>
    </row>
    <row r="60" spans="1:22" x14ac:dyDescent="0.35">
      <c r="A60" s="2">
        <v>43602</v>
      </c>
      <c r="B60" s="3">
        <v>2.8857843599790902</v>
      </c>
      <c r="C60" s="3">
        <v>3.2569503865839802</v>
      </c>
      <c r="D60" s="3">
        <v>3.2317560975669801</v>
      </c>
      <c r="E60" s="3">
        <v>1.84299552021041</v>
      </c>
      <c r="F60" s="3">
        <v>3.3460407017335201</v>
      </c>
      <c r="G60" s="3">
        <v>2.7071059777388</v>
      </c>
      <c r="H60" s="3">
        <v>3.4813868231023402</v>
      </c>
      <c r="I60" s="3">
        <v>4.4931105737474599</v>
      </c>
      <c r="J60" s="3">
        <v>3.4901315362818699</v>
      </c>
      <c r="K60" s="3">
        <v>2.6052964783325701</v>
      </c>
      <c r="L60" s="3">
        <v>3.6888977311043001</v>
      </c>
      <c r="M60" s="3">
        <v>3.90502282892023</v>
      </c>
      <c r="N60" s="3">
        <v>3.9555191688158802</v>
      </c>
      <c r="O60" s="3">
        <v>1.72043821020273</v>
      </c>
      <c r="P60" s="3">
        <v>2.5544033991621902</v>
      </c>
      <c r="Q60" s="3">
        <v>4.4725434487787803</v>
      </c>
      <c r="R60" s="3">
        <v>3.3764163933148801</v>
      </c>
      <c r="S60" s="3">
        <v>5.63081985452017</v>
      </c>
      <c r="T60" s="3">
        <v>5.3861259012398897</v>
      </c>
      <c r="U60" s="3">
        <v>1.5250764009009501</v>
      </c>
      <c r="V60" s="3">
        <v>3.8975753322706002</v>
      </c>
    </row>
    <row r="61" spans="1:22" x14ac:dyDescent="0.35">
      <c r="A61" s="2">
        <v>43635</v>
      </c>
      <c r="B61" s="3">
        <v>2.7531323628960398</v>
      </c>
      <c r="C61" s="3">
        <v>3.3071841514090301</v>
      </c>
      <c r="D61" s="3">
        <v>2.7862723375810301</v>
      </c>
      <c r="E61" s="3">
        <v>1.7617251783078001</v>
      </c>
      <c r="F61" s="3">
        <v>3.2284507745732398</v>
      </c>
      <c r="G61" s="3">
        <v>2.7105019545897902</v>
      </c>
      <c r="H61" s="3">
        <v>3.4478457269754101</v>
      </c>
      <c r="I61" s="3">
        <v>4.3540241188351896</v>
      </c>
      <c r="J61" s="3">
        <v>3.5279619296903402</v>
      </c>
      <c r="K61" s="3">
        <v>2.5131978449223502</v>
      </c>
      <c r="L61" s="3">
        <v>3.0930761819527302</v>
      </c>
      <c r="M61" s="3">
        <v>3.7531313120446601</v>
      </c>
      <c r="N61" s="3">
        <v>3.3084919976562799</v>
      </c>
      <c r="O61" s="3">
        <v>1.70433542750943</v>
      </c>
      <c r="P61" s="3">
        <v>2.5201415587121798</v>
      </c>
      <c r="Q61" s="3">
        <v>4.1186566035215799</v>
      </c>
      <c r="R61" s="3">
        <v>3.16062241383672</v>
      </c>
      <c r="S61" s="3">
        <v>4.9218836803756201</v>
      </c>
      <c r="T61" s="3">
        <v>5.1930016731383599</v>
      </c>
      <c r="U61" s="3">
        <v>1.6204190482458001</v>
      </c>
      <c r="V61" s="3">
        <v>3.7999753140528898</v>
      </c>
    </row>
    <row r="62" spans="1:22" x14ac:dyDescent="0.35">
      <c r="A62" s="2">
        <v>43665</v>
      </c>
      <c r="B62" s="3">
        <v>2.7235307825503501</v>
      </c>
      <c r="C62" s="3">
        <v>3.2045292944963402</v>
      </c>
      <c r="D62" s="3">
        <v>2.6805404419334802</v>
      </c>
      <c r="E62" s="3">
        <v>1.69660429985852</v>
      </c>
      <c r="F62" s="3">
        <v>3.2913474220855901</v>
      </c>
      <c r="G62" s="3">
        <v>2.6537497501687999</v>
      </c>
      <c r="H62" s="3">
        <v>3.43796892750064</v>
      </c>
      <c r="I62" s="3">
        <v>4.2749895106258204</v>
      </c>
      <c r="J62" s="3">
        <v>3.67082800336205</v>
      </c>
      <c r="K62" s="3">
        <v>2.5155392045144702</v>
      </c>
      <c r="L62" s="3">
        <v>3.1376795998931302</v>
      </c>
      <c r="M62" s="3">
        <v>3.76916742388957</v>
      </c>
      <c r="N62" s="3">
        <v>3.2158620013302701</v>
      </c>
      <c r="O62" s="3">
        <v>1.7694680903492099</v>
      </c>
      <c r="P62" s="3">
        <v>2.46958485602106</v>
      </c>
      <c r="Q62" s="3">
        <v>4.1307417338397299</v>
      </c>
      <c r="R62" s="3">
        <v>3.11025812977473</v>
      </c>
      <c r="S62" s="3">
        <v>4.4053751275801103</v>
      </c>
      <c r="T62" s="3">
        <v>5.0191517474712102</v>
      </c>
      <c r="U62" s="3">
        <v>1.7660179873780799</v>
      </c>
      <c r="V62" s="3">
        <v>3.7680743796715301</v>
      </c>
    </row>
    <row r="63" spans="1:22" x14ac:dyDescent="0.35">
      <c r="A63" s="2">
        <v>43696</v>
      </c>
      <c r="B63" s="3">
        <v>2.7454820120306702</v>
      </c>
      <c r="C63" s="3">
        <v>3.4872366628737499</v>
      </c>
      <c r="D63" s="3">
        <v>2.79664685724013</v>
      </c>
      <c r="E63" s="3">
        <v>1.8119646373157401</v>
      </c>
      <c r="F63" s="3">
        <v>3.79924126860793</v>
      </c>
      <c r="G63" s="3">
        <v>2.9624293497009</v>
      </c>
      <c r="H63" s="3">
        <v>3.5071703269019801</v>
      </c>
      <c r="I63" s="3">
        <v>4.4458449810425904</v>
      </c>
      <c r="J63" s="3">
        <v>3.9331124853763701</v>
      </c>
      <c r="K63" s="3">
        <v>2.6951120600974501</v>
      </c>
      <c r="L63" s="3">
        <v>3.4103200011609598</v>
      </c>
      <c r="M63" s="3">
        <v>4.1043992258446096</v>
      </c>
      <c r="N63" s="3">
        <v>3.4030127068038101</v>
      </c>
      <c r="O63" s="3">
        <v>1.80678774743948</v>
      </c>
      <c r="P63" s="3">
        <v>2.5645968862269202</v>
      </c>
      <c r="Q63" s="3">
        <v>4.4174347254167401</v>
      </c>
      <c r="R63" s="3">
        <v>3.2888857903969599</v>
      </c>
      <c r="S63" s="3">
        <v>5.0496460087686303</v>
      </c>
      <c r="T63" s="3">
        <v>5.1001229422649201</v>
      </c>
      <c r="U63" s="3">
        <v>1.92224972072335</v>
      </c>
      <c r="V63" s="3">
        <v>3.9678963369620099</v>
      </c>
    </row>
    <row r="64" spans="1:22" x14ac:dyDescent="0.35">
      <c r="A64" s="2">
        <v>43727</v>
      </c>
      <c r="B64" s="3">
        <v>2.6509515854305299</v>
      </c>
      <c r="C64" s="3">
        <v>3.2520238574226101</v>
      </c>
      <c r="D64" s="3">
        <v>2.8068637585021601</v>
      </c>
      <c r="E64" s="3">
        <v>1.8536685045865799</v>
      </c>
      <c r="F64" s="3">
        <v>3.5562851311905299</v>
      </c>
      <c r="G64" s="3">
        <v>2.9874049493745001</v>
      </c>
      <c r="H64" s="3">
        <v>3.51908254709367</v>
      </c>
      <c r="I64" s="3">
        <v>4.2085369736705402</v>
      </c>
      <c r="J64" s="3">
        <v>3.5955504426070299</v>
      </c>
      <c r="K64" s="3">
        <v>2.4894559764681001</v>
      </c>
      <c r="L64" s="3">
        <v>3.22368578960916</v>
      </c>
      <c r="M64" s="3">
        <v>4.2085148928387399</v>
      </c>
      <c r="N64" s="3">
        <v>3.3480737038888102</v>
      </c>
      <c r="O64" s="3">
        <v>1.8565422505434801</v>
      </c>
      <c r="P64" s="3">
        <v>2.4719494837835501</v>
      </c>
      <c r="Q64" s="3">
        <v>4.1217371360781803</v>
      </c>
      <c r="R64" s="3">
        <v>3.2608957928304201</v>
      </c>
      <c r="S64" s="3">
        <v>5.0126964503893801</v>
      </c>
      <c r="T64" s="3">
        <v>4.7547399473910597</v>
      </c>
      <c r="U64" s="3">
        <v>1.89017990840498</v>
      </c>
      <c r="V64" s="3">
        <v>4.2200387568988402</v>
      </c>
    </row>
    <row r="65" spans="1:22" x14ac:dyDescent="0.35">
      <c r="A65" s="2">
        <v>43756</v>
      </c>
      <c r="B65" s="3">
        <v>2.7215432339077998</v>
      </c>
      <c r="C65" s="3">
        <v>3.16525276112541</v>
      </c>
      <c r="D65" s="3">
        <v>2.7923944852714899</v>
      </c>
      <c r="E65" s="3">
        <v>1.85850026329014</v>
      </c>
      <c r="F65" s="3">
        <v>3.5055499872002698</v>
      </c>
      <c r="G65" s="3">
        <v>3.03771668245024</v>
      </c>
      <c r="H65" s="3">
        <v>3.5605891957067199</v>
      </c>
      <c r="I65" s="3">
        <v>4.1940603615010801</v>
      </c>
      <c r="J65" s="3">
        <v>3.4863298700419598</v>
      </c>
      <c r="K65" s="3">
        <v>2.5103214221069998</v>
      </c>
      <c r="L65" s="3">
        <v>3.3447967694130298</v>
      </c>
      <c r="M65" s="3">
        <v>4.2167598625941398</v>
      </c>
      <c r="N65" s="3">
        <v>3.2134631705791099</v>
      </c>
      <c r="O65" s="3">
        <v>1.7907925251264101</v>
      </c>
      <c r="P65" s="3">
        <v>2.5171238740319701</v>
      </c>
      <c r="Q65" s="3">
        <v>4.0964131847957104</v>
      </c>
      <c r="R65" s="3">
        <v>3.2541257429195798</v>
      </c>
      <c r="S65" s="3">
        <v>5.1176630675042896</v>
      </c>
      <c r="T65" s="3">
        <v>4.7167786458050696</v>
      </c>
      <c r="U65" s="3">
        <v>1.8333576083922001</v>
      </c>
      <c r="V65" s="3">
        <v>4.3601520917246699</v>
      </c>
    </row>
    <row r="66" spans="1:22" x14ac:dyDescent="0.35">
      <c r="A66" s="2">
        <v>43788</v>
      </c>
      <c r="B66" s="3">
        <v>2.7456895464835198</v>
      </c>
      <c r="C66" s="3">
        <v>3.4825748349288399</v>
      </c>
      <c r="D66" s="3">
        <v>2.7991202920401701</v>
      </c>
      <c r="E66" s="3">
        <v>1.86078773425767</v>
      </c>
      <c r="F66" s="3">
        <v>3.3611272530275902</v>
      </c>
      <c r="G66" s="3">
        <v>2.94626797486444</v>
      </c>
      <c r="H66" s="3">
        <v>3.4609277048900799</v>
      </c>
      <c r="I66" s="3">
        <v>4.0187723628952403</v>
      </c>
      <c r="J66" s="3">
        <v>3.5075396934051399</v>
      </c>
      <c r="K66" s="3">
        <v>2.38304947073981</v>
      </c>
      <c r="L66" s="3">
        <v>3.3019558578849302</v>
      </c>
      <c r="M66" s="3">
        <v>4.10397517468855</v>
      </c>
      <c r="N66" s="3">
        <v>3.22207284898602</v>
      </c>
      <c r="O66" s="3">
        <v>1.75067014241102</v>
      </c>
      <c r="P66" s="3">
        <v>2.4647531257554198</v>
      </c>
      <c r="Q66" s="3">
        <v>4.0692773098079096</v>
      </c>
      <c r="R66" s="3">
        <v>3.20119697291925</v>
      </c>
      <c r="S66" s="3">
        <v>4.4161675720999298</v>
      </c>
      <c r="T66" s="3">
        <v>4.7973201613779697</v>
      </c>
      <c r="U66" s="3">
        <v>1.6776390560015499</v>
      </c>
      <c r="V66" s="3">
        <v>4.0685730144457803</v>
      </c>
    </row>
    <row r="67" spans="1:22" x14ac:dyDescent="0.35">
      <c r="A67" s="2">
        <v>43818</v>
      </c>
      <c r="B67" s="3">
        <v>2.48639892448193</v>
      </c>
      <c r="C67" s="3">
        <v>3.6521974719760499</v>
      </c>
      <c r="D67" s="3">
        <v>2.80371207435544</v>
      </c>
      <c r="E67" s="3">
        <v>1.8778555278667399</v>
      </c>
      <c r="F67" s="3">
        <v>3.5521268586563401</v>
      </c>
      <c r="G67" s="3">
        <v>2.64622702915005</v>
      </c>
      <c r="H67" s="3">
        <v>3.4666665328300299</v>
      </c>
      <c r="I67" s="3">
        <v>3.95833939344387</v>
      </c>
      <c r="J67" s="3">
        <v>3.4305480679001898</v>
      </c>
      <c r="K67" s="3">
        <v>2.3146063039726998</v>
      </c>
      <c r="L67" s="3">
        <v>3.1352074057696102</v>
      </c>
      <c r="M67" s="3">
        <v>3.6952870328092899</v>
      </c>
      <c r="N67" s="3">
        <v>2.93905515025103</v>
      </c>
      <c r="O67" s="3">
        <v>1.65259417969036</v>
      </c>
      <c r="P67" s="3">
        <v>2.2822060279818999</v>
      </c>
      <c r="Q67" s="3">
        <v>4.0642513906603197</v>
      </c>
      <c r="R67" s="3">
        <v>3.2495146331108198</v>
      </c>
      <c r="S67" s="3">
        <v>4.4062275435727303</v>
      </c>
      <c r="T67" s="3">
        <v>5.0781115509013102</v>
      </c>
      <c r="U67" s="3">
        <v>1.6167988254228101</v>
      </c>
      <c r="V67" s="3">
        <v>3.9729101866997598</v>
      </c>
    </row>
    <row r="68" spans="1:22" x14ac:dyDescent="0.35">
      <c r="A68" s="2">
        <v>43847</v>
      </c>
      <c r="B68" s="3">
        <v>2.4233580035345401</v>
      </c>
      <c r="C68" s="3">
        <v>3.6090243730736602</v>
      </c>
      <c r="D68" s="3">
        <v>2.6892956910647099</v>
      </c>
      <c r="E68" s="3">
        <v>1.855349939626</v>
      </c>
      <c r="F68" s="3">
        <v>3.55178777757133</v>
      </c>
      <c r="G68" s="3">
        <v>2.61665182681431</v>
      </c>
      <c r="H68" s="3">
        <v>3.4776179405806</v>
      </c>
      <c r="I68" s="3">
        <v>3.9778227342127899</v>
      </c>
      <c r="J68" s="3">
        <v>3.3356606445618602</v>
      </c>
      <c r="K68" s="3">
        <v>2.26219463267975</v>
      </c>
      <c r="L68" s="3">
        <v>3.08138262888437</v>
      </c>
      <c r="M68" s="3">
        <v>3.6725234197401702</v>
      </c>
      <c r="N68" s="3">
        <v>2.8820636031181199</v>
      </c>
      <c r="O68" s="3">
        <v>1.6365215026931801</v>
      </c>
      <c r="P68" s="3">
        <v>2.1971626716544801</v>
      </c>
      <c r="Q68" s="3">
        <v>3.8897041573634001</v>
      </c>
      <c r="R68" s="3">
        <v>3.19754511529373</v>
      </c>
      <c r="S68" s="3">
        <v>4.2612060914079999</v>
      </c>
      <c r="T68" s="3">
        <v>5.0936409866170802</v>
      </c>
      <c r="U68" s="3">
        <v>1.49597977611164</v>
      </c>
      <c r="V68" s="3">
        <v>3.9550748152124502</v>
      </c>
    </row>
    <row r="69" spans="1:22" x14ac:dyDescent="0.35">
      <c r="A69" s="2">
        <v>43880</v>
      </c>
      <c r="B69" s="3">
        <v>2.4472852862210601</v>
      </c>
      <c r="C69" s="3">
        <v>3.85803821060053</v>
      </c>
      <c r="D69" s="3">
        <v>2.8722896792681798</v>
      </c>
      <c r="E69" s="3">
        <v>1.92731358722969</v>
      </c>
      <c r="F69" s="3">
        <v>3.6806626820144102</v>
      </c>
      <c r="G69" s="3">
        <v>2.94946350401097</v>
      </c>
      <c r="H69" s="3">
        <v>3.6260100050316799</v>
      </c>
      <c r="I69" s="3">
        <v>4.0702878630132098</v>
      </c>
      <c r="J69" s="3">
        <v>3.3390165465116901</v>
      </c>
      <c r="K69" s="3">
        <v>2.2536685557122298</v>
      </c>
      <c r="L69" s="3">
        <v>3.0731541617090801</v>
      </c>
      <c r="M69" s="3">
        <v>3.7280380277798502</v>
      </c>
      <c r="N69" s="3">
        <v>2.8469711232080499</v>
      </c>
      <c r="O69" s="3">
        <v>1.65633159137313</v>
      </c>
      <c r="P69" s="3">
        <v>2.2159786209104402</v>
      </c>
      <c r="Q69" s="3">
        <v>4.3272028140620202</v>
      </c>
      <c r="R69" s="3">
        <v>3.3886913027660399</v>
      </c>
      <c r="S69" s="3">
        <v>4.40768641816714</v>
      </c>
      <c r="T69" s="3">
        <v>5.2513747284619701</v>
      </c>
      <c r="U69" s="3">
        <v>1.58048920027443</v>
      </c>
      <c r="V69" s="3">
        <v>4.3319086172288896</v>
      </c>
    </row>
    <row r="70" spans="1:22" x14ac:dyDescent="0.35">
      <c r="A70" s="2">
        <v>43909</v>
      </c>
      <c r="B70" s="3">
        <v>2.7140056430509598</v>
      </c>
      <c r="C70" s="3">
        <v>5.55750754870121</v>
      </c>
      <c r="D70" s="3">
        <v>4.6426907744166499</v>
      </c>
      <c r="E70" s="3">
        <v>3.06358424091898</v>
      </c>
      <c r="F70" s="3">
        <v>4.8125449810533096</v>
      </c>
      <c r="G70" s="3">
        <v>4.5136869674569802</v>
      </c>
      <c r="H70" s="3">
        <v>4.5229287525445798</v>
      </c>
      <c r="I70" s="3">
        <v>5.3886350158336098</v>
      </c>
      <c r="J70" s="3">
        <v>4.4604785446325801</v>
      </c>
      <c r="K70" s="3">
        <v>3.4123136273439698</v>
      </c>
      <c r="L70" s="3">
        <v>5.2056194018686899</v>
      </c>
      <c r="M70" s="3">
        <v>5.9789695818322004</v>
      </c>
      <c r="N70" s="3">
        <v>5.5077272592427002</v>
      </c>
      <c r="O70" s="3">
        <v>2.4341653099593201</v>
      </c>
      <c r="P70" s="3">
        <v>2.6262012884949</v>
      </c>
      <c r="Q70" s="3">
        <v>4.6524612656606399</v>
      </c>
      <c r="R70" s="3">
        <v>4.5923144663143498</v>
      </c>
      <c r="S70" s="3">
        <v>6.0186572480573099</v>
      </c>
      <c r="T70" s="3">
        <v>7.3371221586485298</v>
      </c>
      <c r="U70" s="3">
        <v>2.0396190420403002</v>
      </c>
      <c r="V70" s="3">
        <v>5.4628185606649202</v>
      </c>
    </row>
    <row r="71" spans="1:22" x14ac:dyDescent="0.35">
      <c r="A71" s="2">
        <v>43938</v>
      </c>
      <c r="B71" s="3">
        <v>2.46695386034959</v>
      </c>
      <c r="C71" s="3">
        <v>4.22761719190067</v>
      </c>
      <c r="D71" s="3">
        <v>3.9446136468708102</v>
      </c>
      <c r="E71" s="3">
        <v>2.4203195519193899</v>
      </c>
      <c r="F71" s="3">
        <v>3.67262498387081</v>
      </c>
      <c r="G71" s="3">
        <v>4.0006576454967799</v>
      </c>
      <c r="H71" s="3">
        <v>3.7915880955941099</v>
      </c>
      <c r="I71" s="3">
        <v>4.2371207336839696</v>
      </c>
      <c r="J71" s="3">
        <v>4.3367333999236104</v>
      </c>
      <c r="K71" s="3">
        <v>2.5472816508132401</v>
      </c>
      <c r="L71" s="3">
        <v>4.0154090897061199</v>
      </c>
      <c r="M71" s="3">
        <v>4.3684864849860503</v>
      </c>
      <c r="N71" s="3">
        <v>4.6274906574514603</v>
      </c>
      <c r="O71" s="3">
        <v>2.0503633134066002</v>
      </c>
      <c r="P71" s="3">
        <v>2.2103026727285</v>
      </c>
      <c r="Q71" s="3">
        <v>4.4630729455994897</v>
      </c>
      <c r="R71" s="3">
        <v>3.5633342668911201</v>
      </c>
      <c r="S71" s="3">
        <v>4.8277621171007699</v>
      </c>
      <c r="T71" s="3">
        <v>5.37608495594072</v>
      </c>
      <c r="U71" s="3">
        <v>1.86996615920184</v>
      </c>
      <c r="V71" s="3">
        <v>4.8434830727162499</v>
      </c>
    </row>
    <row r="72" spans="1:22" x14ac:dyDescent="0.35">
      <c r="A72" s="2">
        <v>43970</v>
      </c>
      <c r="B72" s="3">
        <v>2.3059026569742</v>
      </c>
      <c r="C72" s="3">
        <v>3.7539173628950202</v>
      </c>
      <c r="D72" s="3">
        <v>3.7867945139346402</v>
      </c>
      <c r="E72" s="3">
        <v>2.4237088070967001</v>
      </c>
      <c r="F72" s="3">
        <v>3.17620711211522</v>
      </c>
      <c r="G72" s="3">
        <v>3.1798565759518</v>
      </c>
      <c r="H72" s="3">
        <v>3.6028193305410698</v>
      </c>
      <c r="I72" s="3">
        <v>4.1513959754645802</v>
      </c>
      <c r="J72" s="3">
        <v>3.53718671171197</v>
      </c>
      <c r="K72" s="3">
        <v>2.4169272902869401</v>
      </c>
      <c r="L72" s="3">
        <v>3.63885559206211</v>
      </c>
      <c r="M72" s="3">
        <v>3.4411129457301799</v>
      </c>
      <c r="N72" s="3">
        <v>4.1647710491789196</v>
      </c>
      <c r="O72" s="3">
        <v>1.9792079867343899</v>
      </c>
      <c r="P72" s="3">
        <v>2.1152921395266802</v>
      </c>
      <c r="Q72" s="3">
        <v>4.2156158864068702</v>
      </c>
      <c r="R72" s="3">
        <v>3.19073538691713</v>
      </c>
      <c r="S72" s="3">
        <v>3.96524984182129</v>
      </c>
      <c r="T72" s="3">
        <v>4.6320053960203298</v>
      </c>
      <c r="U72" s="3">
        <v>1.38323281885701</v>
      </c>
      <c r="V72" s="3">
        <v>4.3289572020205398</v>
      </c>
    </row>
    <row r="73" spans="1:22" x14ac:dyDescent="0.35">
      <c r="A73" s="2">
        <v>44001</v>
      </c>
      <c r="B73" s="3">
        <v>2.16846301233414</v>
      </c>
      <c r="C73" s="3">
        <v>3.3733999629112801</v>
      </c>
      <c r="D73" s="3">
        <v>3.09880898645544</v>
      </c>
      <c r="E73" s="3">
        <v>2.08175765447784</v>
      </c>
      <c r="F73" s="3">
        <v>2.4417261353035</v>
      </c>
      <c r="G73" s="3">
        <v>3.1376716388201902</v>
      </c>
      <c r="H73" s="3">
        <v>3.13691962550093</v>
      </c>
      <c r="I73" s="3">
        <v>3.9174993706368499</v>
      </c>
      <c r="J73" s="3">
        <v>3.0573428283572102</v>
      </c>
      <c r="K73" s="3">
        <v>2.2510102822497</v>
      </c>
      <c r="L73" s="3">
        <v>2.8671719456801101</v>
      </c>
      <c r="M73" s="3">
        <v>3.35861308337449</v>
      </c>
      <c r="N73" s="3">
        <v>3.6243271442137899</v>
      </c>
      <c r="O73" s="3">
        <v>1.6722866984107601</v>
      </c>
      <c r="P73" s="3">
        <v>1.9194343247266501</v>
      </c>
      <c r="Q73" s="3">
        <v>3.8923456121010598</v>
      </c>
      <c r="R73" s="3">
        <v>3.01872842567079</v>
      </c>
      <c r="S73" s="3">
        <v>3.2183414594925499</v>
      </c>
      <c r="T73" s="3">
        <v>4.4180458903695001</v>
      </c>
      <c r="U73" s="3">
        <v>1.34890653989547</v>
      </c>
      <c r="V73" s="3">
        <v>3.8862125223731101</v>
      </c>
    </row>
    <row r="74" spans="1:22" x14ac:dyDescent="0.35">
      <c r="A74" s="2">
        <v>44029</v>
      </c>
      <c r="B74" s="3">
        <v>1.9790454067904699</v>
      </c>
      <c r="C74" s="3">
        <v>3.3261401318058001</v>
      </c>
      <c r="D74" s="3">
        <v>2.9121466871047801</v>
      </c>
      <c r="E74" s="3">
        <v>2.1046596963017801</v>
      </c>
      <c r="F74" s="3">
        <v>2.3319323974235999</v>
      </c>
      <c r="G74" s="3">
        <v>3.0237907329973899</v>
      </c>
      <c r="H74" s="3">
        <v>3.0115980656655599</v>
      </c>
      <c r="I74" s="3">
        <v>3.7289986761787901</v>
      </c>
      <c r="J74" s="3">
        <v>3.1670275211925301</v>
      </c>
      <c r="K74" s="3">
        <v>2.2030106600680499</v>
      </c>
      <c r="L74" s="3">
        <v>2.6790354695196301</v>
      </c>
      <c r="M74" s="3">
        <v>3.3562903775081199</v>
      </c>
      <c r="N74" s="3">
        <v>3.7231727017352898</v>
      </c>
      <c r="O74" s="3">
        <v>1.5682398119017</v>
      </c>
      <c r="P74" s="3">
        <v>1.82059392609772</v>
      </c>
      <c r="Q74" s="3">
        <v>3.79264676503694</v>
      </c>
      <c r="R74" s="3">
        <v>3.0228279039256001</v>
      </c>
      <c r="S74" s="3">
        <v>3.3196088207193601</v>
      </c>
      <c r="T74" s="3">
        <v>4.6636009145957198</v>
      </c>
      <c r="U74" s="3">
        <v>1.36211084165563</v>
      </c>
      <c r="V74" s="3">
        <v>3.87150583597144</v>
      </c>
    </row>
    <row r="75" spans="1:22" x14ac:dyDescent="0.35">
      <c r="A75" s="2">
        <v>44062</v>
      </c>
      <c r="B75" s="3">
        <v>1.9453759713695</v>
      </c>
      <c r="C75" s="3">
        <v>3.3605127292993102</v>
      </c>
      <c r="D75" s="3">
        <v>2.7658031343703402</v>
      </c>
      <c r="E75" s="3">
        <v>2.05970142794432</v>
      </c>
      <c r="F75" s="3">
        <v>2.7409755725745502</v>
      </c>
      <c r="G75" s="3">
        <v>2.50839333315515</v>
      </c>
      <c r="H75" s="3">
        <v>3.1297166051579102</v>
      </c>
      <c r="I75" s="3">
        <v>3.7053505232119202</v>
      </c>
      <c r="J75" s="3">
        <v>2.9620158178073601</v>
      </c>
      <c r="K75" s="3">
        <v>2.0936129840488999</v>
      </c>
      <c r="L75" s="3">
        <v>2.80634900384509</v>
      </c>
      <c r="M75" s="3">
        <v>3.4298877368178502</v>
      </c>
      <c r="N75" s="3">
        <v>3.54175997761189</v>
      </c>
      <c r="O75" s="3">
        <v>1.5082482508091399</v>
      </c>
      <c r="P75" s="3">
        <v>1.78268537646023</v>
      </c>
      <c r="Q75" s="3">
        <v>3.6209445139865002</v>
      </c>
      <c r="R75" s="3">
        <v>3.1089058444640698</v>
      </c>
      <c r="S75" s="3">
        <v>3.9604186312595302</v>
      </c>
      <c r="T75" s="3">
        <v>4.4962204898867499</v>
      </c>
      <c r="U75" s="3">
        <v>1.3908824556817401</v>
      </c>
      <c r="V75" s="3">
        <v>3.57757284189241</v>
      </c>
    </row>
    <row r="76" spans="1:22" x14ac:dyDescent="0.35">
      <c r="A76" s="2">
        <v>44092</v>
      </c>
      <c r="B76" s="3">
        <v>1.92032183394592</v>
      </c>
      <c r="C76" s="3">
        <v>3.81398112896265</v>
      </c>
      <c r="D76" s="3">
        <v>2.9196849280484498</v>
      </c>
      <c r="E76" s="3">
        <v>2.08439245823108</v>
      </c>
      <c r="F76" s="3">
        <v>2.9198649085031199</v>
      </c>
      <c r="G76" s="3">
        <v>2.5785738323651</v>
      </c>
      <c r="H76" s="3">
        <v>3.31059811467347</v>
      </c>
      <c r="I76" s="3">
        <v>3.8120425246892999</v>
      </c>
      <c r="J76" s="3">
        <v>3.34452200366098</v>
      </c>
      <c r="K76" s="3">
        <v>2.0850126508467701</v>
      </c>
      <c r="L76" s="3">
        <v>3.36433961240922</v>
      </c>
      <c r="M76" s="3">
        <v>3.5044850335704298</v>
      </c>
      <c r="N76" s="3">
        <v>3.46831000489887</v>
      </c>
      <c r="O76" s="3">
        <v>1.5193295536559199</v>
      </c>
      <c r="P76" s="3">
        <v>1.7784562944272899</v>
      </c>
      <c r="Q76" s="3">
        <v>3.4904415760643501</v>
      </c>
      <c r="R76" s="3">
        <v>3.1323087939674501</v>
      </c>
      <c r="S76" s="3">
        <v>4.5299846783013997</v>
      </c>
      <c r="T76" s="3">
        <v>4.2564967512263401</v>
      </c>
      <c r="U76" s="3">
        <v>1.2996645565432901</v>
      </c>
      <c r="V76" s="3">
        <v>3.3967585331036099</v>
      </c>
    </row>
    <row r="77" spans="1:22" x14ac:dyDescent="0.35">
      <c r="A77" s="2">
        <v>44123</v>
      </c>
      <c r="B77" s="3">
        <v>1.95665409884839</v>
      </c>
      <c r="C77" s="3">
        <v>3.8443409351022702</v>
      </c>
      <c r="D77" s="3">
        <v>2.8336796556063599</v>
      </c>
      <c r="E77" s="3">
        <v>1.93579383300246</v>
      </c>
      <c r="F77" s="3">
        <v>3.3078632340275802</v>
      </c>
      <c r="G77" s="3">
        <v>2.6409387418251402</v>
      </c>
      <c r="H77" s="3">
        <v>3.2571787176304499</v>
      </c>
      <c r="I77" s="3">
        <v>3.8398049673474901</v>
      </c>
      <c r="J77" s="3">
        <v>3.3428239975940799</v>
      </c>
      <c r="K77" s="3">
        <v>2.13845208189383</v>
      </c>
      <c r="L77" s="3">
        <v>3.4570621245823401</v>
      </c>
      <c r="M77" s="3">
        <v>3.59674929661933</v>
      </c>
      <c r="N77" s="3">
        <v>3.8764573391726702</v>
      </c>
      <c r="O77" s="3">
        <v>1.51080226437703</v>
      </c>
      <c r="P77" s="3">
        <v>1.7256983293536201</v>
      </c>
      <c r="Q77" s="3">
        <v>3.5869826325989802</v>
      </c>
      <c r="R77" s="3">
        <v>3.27661462885409</v>
      </c>
      <c r="S77" s="3">
        <v>4.21801893208157</v>
      </c>
      <c r="T77" s="3">
        <v>4.2183827390306501</v>
      </c>
      <c r="U77" s="3">
        <v>1.3480872549496099</v>
      </c>
      <c r="V77" s="3">
        <v>3.2697215899188201</v>
      </c>
    </row>
    <row r="78" spans="1:22" x14ac:dyDescent="0.35">
      <c r="A78" s="2">
        <v>44154</v>
      </c>
      <c r="B78" s="3">
        <v>1.93438351109119</v>
      </c>
      <c r="C78" s="3">
        <v>3.3744322780965001</v>
      </c>
      <c r="D78" s="3">
        <v>2.4860719301479399</v>
      </c>
      <c r="E78" s="3">
        <v>1.6377383373141201</v>
      </c>
      <c r="F78" s="3">
        <v>2.56631800889466</v>
      </c>
      <c r="G78" s="3">
        <v>2.1932421419960102</v>
      </c>
      <c r="H78" s="3">
        <v>3.4372831499018899</v>
      </c>
      <c r="I78" s="3">
        <v>3.7396581226025698</v>
      </c>
      <c r="J78" s="3">
        <v>3.2295767479905502</v>
      </c>
      <c r="K78" s="3">
        <v>1.99778945712536</v>
      </c>
      <c r="L78" s="3">
        <v>3.4432482658327199</v>
      </c>
      <c r="M78" s="3">
        <v>3.5843835500789401</v>
      </c>
      <c r="N78" s="3">
        <v>3.5011649115165802</v>
      </c>
      <c r="O78" s="3">
        <v>1.4737884226342799</v>
      </c>
      <c r="P78" s="3">
        <v>1.7381689265117499</v>
      </c>
      <c r="Q78" s="3">
        <v>3.7069403704656998</v>
      </c>
      <c r="R78" s="3">
        <v>2.8483520525813799</v>
      </c>
      <c r="S78" s="3">
        <v>3.9366879154829499</v>
      </c>
      <c r="T78" s="3">
        <v>4.5026246473366998</v>
      </c>
      <c r="U78" s="3">
        <v>1.3368838592888099</v>
      </c>
      <c r="V78" s="3">
        <v>3.4142219111877701</v>
      </c>
    </row>
    <row r="79" spans="1:22" x14ac:dyDescent="0.35">
      <c r="A79" s="2">
        <v>44183</v>
      </c>
      <c r="B79" s="3">
        <v>1.84030231801111</v>
      </c>
      <c r="C79" s="3">
        <v>3.1867599243118199</v>
      </c>
      <c r="D79" s="3">
        <v>2.21743867681284</v>
      </c>
      <c r="E79" s="3">
        <v>1.66676469113415</v>
      </c>
      <c r="F79" s="3">
        <v>2.77136233639657</v>
      </c>
      <c r="G79" s="3">
        <v>1.7167914274665801</v>
      </c>
      <c r="H79" s="3">
        <v>3.5212304418320102</v>
      </c>
      <c r="I79" s="3">
        <v>3.6987400799820298</v>
      </c>
      <c r="J79" s="3">
        <v>3.4491081566099999</v>
      </c>
      <c r="K79" s="3">
        <v>1.8565173081316799</v>
      </c>
      <c r="L79" s="3">
        <v>3.3487634028067599</v>
      </c>
      <c r="M79" s="3">
        <v>3.7687028456071001</v>
      </c>
      <c r="N79" s="3">
        <v>3.1714598156205001</v>
      </c>
      <c r="O79" s="3">
        <v>1.3506445422602</v>
      </c>
      <c r="P79" s="3">
        <v>1.6642593167197699</v>
      </c>
      <c r="Q79" s="3">
        <v>3.7083386603627999</v>
      </c>
      <c r="R79" s="3">
        <v>2.7444553836635301</v>
      </c>
      <c r="S79" s="3">
        <v>3.8600137459363402</v>
      </c>
      <c r="T79" s="3">
        <v>4.3817143266891803</v>
      </c>
      <c r="U79" s="3">
        <v>1.2252549622186499</v>
      </c>
      <c r="V79" s="3">
        <v>3.4843444187455099</v>
      </c>
    </row>
    <row r="80" spans="1:22" x14ac:dyDescent="0.35">
      <c r="A80" s="2">
        <v>44215</v>
      </c>
      <c r="B80" s="3">
        <v>1.70293858556546</v>
      </c>
      <c r="C80" s="3">
        <v>2.9985492546495598</v>
      </c>
      <c r="D80" s="3">
        <v>2.2329591237147</v>
      </c>
      <c r="E80" s="3">
        <v>1.6874481643750501</v>
      </c>
      <c r="F80" s="3">
        <v>2.9023403110306401</v>
      </c>
      <c r="G80" s="3">
        <v>1.6989385819385401</v>
      </c>
      <c r="H80" s="3">
        <v>3.7208822140460902</v>
      </c>
      <c r="I80" s="3">
        <v>3.4048478875412602</v>
      </c>
      <c r="J80" s="3">
        <v>3.44085117849079</v>
      </c>
      <c r="K80" s="3">
        <v>1.65392512209744</v>
      </c>
      <c r="L80" s="3">
        <v>3.4191237221298501</v>
      </c>
      <c r="M80" s="3">
        <v>3.9009616124225599</v>
      </c>
      <c r="N80" s="3">
        <v>3.2176791988911599</v>
      </c>
      <c r="O80" s="3">
        <v>1.31870314785139</v>
      </c>
      <c r="P80" s="3">
        <v>1.44471981368459</v>
      </c>
      <c r="Q80" s="3">
        <v>3.7898640008293798</v>
      </c>
      <c r="R80" s="3">
        <v>2.70465777336354</v>
      </c>
      <c r="S80" s="3">
        <v>3.8201610615084101</v>
      </c>
      <c r="T80" s="3">
        <v>4.0776593325847301</v>
      </c>
      <c r="U80" s="3">
        <v>1.1783851994488801</v>
      </c>
      <c r="V80" s="3">
        <v>3.4621582788757399</v>
      </c>
    </row>
    <row r="81" spans="1:22" x14ac:dyDescent="0.35">
      <c r="A81" s="2">
        <v>44246</v>
      </c>
      <c r="B81" s="3">
        <v>1.6073329233783</v>
      </c>
      <c r="C81" s="3">
        <v>2.97465559973628</v>
      </c>
      <c r="D81" s="3">
        <v>2.4555373059517098</v>
      </c>
      <c r="E81" s="3">
        <v>1.78772390015426</v>
      </c>
      <c r="F81" s="3">
        <v>2.81939584751705</v>
      </c>
      <c r="G81" s="3">
        <v>1.7113459587189599</v>
      </c>
      <c r="H81" s="3">
        <v>3.8795639264592299</v>
      </c>
      <c r="I81" s="3">
        <v>3.4724859612616701</v>
      </c>
      <c r="J81" s="3">
        <v>3.4586272345086302</v>
      </c>
      <c r="K81" s="3">
        <v>1.64881571853235</v>
      </c>
      <c r="L81" s="3">
        <v>3.7918911789199798</v>
      </c>
      <c r="M81" s="3">
        <v>3.80655144036816</v>
      </c>
      <c r="N81" s="3">
        <v>3.3429141769676498</v>
      </c>
      <c r="O81" s="3">
        <v>1.3400775050900799</v>
      </c>
      <c r="P81" s="3">
        <v>1.32334034933138</v>
      </c>
      <c r="Q81" s="3">
        <v>3.8447150082062098</v>
      </c>
      <c r="R81" s="3">
        <v>2.82879294582819</v>
      </c>
      <c r="S81" s="3">
        <v>4.4887138619319602</v>
      </c>
      <c r="T81" s="3">
        <v>4.3855503202346897</v>
      </c>
      <c r="U81" s="3">
        <v>1.1840011253012599</v>
      </c>
      <c r="V81" s="3">
        <v>3.5221003456141999</v>
      </c>
    </row>
    <row r="82" spans="1:22" x14ac:dyDescent="0.35">
      <c r="A82" s="2">
        <v>44274</v>
      </c>
      <c r="B82" s="3">
        <v>1.9026503424274399</v>
      </c>
      <c r="C82" s="3">
        <v>2.8454700524436198</v>
      </c>
      <c r="D82" s="3">
        <v>2.5340528726162401</v>
      </c>
      <c r="E82" s="3">
        <v>1.8800983083693601</v>
      </c>
      <c r="F82" s="3">
        <v>3.04402331740553</v>
      </c>
      <c r="G82" s="3">
        <v>2.02505115815126</v>
      </c>
      <c r="H82" s="3">
        <v>3.9631030470595001</v>
      </c>
      <c r="I82" s="3">
        <v>3.6808677869533102</v>
      </c>
      <c r="J82" s="3">
        <v>3.4100002549053499</v>
      </c>
      <c r="K82" s="3">
        <v>1.6911447972549001</v>
      </c>
      <c r="L82" s="3">
        <v>4.3429067995778103</v>
      </c>
      <c r="M82" s="3">
        <v>3.8719596428184802</v>
      </c>
      <c r="N82" s="3">
        <v>3.28320932508842</v>
      </c>
      <c r="O82" s="3">
        <v>1.3739153906463599</v>
      </c>
      <c r="P82" s="3">
        <v>1.5023511225266499</v>
      </c>
      <c r="Q82" s="3">
        <v>3.88295965930224</v>
      </c>
      <c r="R82" s="3">
        <v>2.7701191019729698</v>
      </c>
      <c r="S82" s="3">
        <v>4.55738148531396</v>
      </c>
      <c r="T82" s="3">
        <v>4.4591222041316296</v>
      </c>
      <c r="U82" s="3">
        <v>1.1720636529044901</v>
      </c>
      <c r="V82" s="3">
        <v>3.5221063665832499</v>
      </c>
    </row>
    <row r="83" spans="1:22" x14ac:dyDescent="0.35">
      <c r="A83" s="2">
        <v>44305</v>
      </c>
      <c r="B83" s="3">
        <v>1.9183368125096101</v>
      </c>
      <c r="C83" s="3">
        <v>3.0618482502465501</v>
      </c>
      <c r="D83" s="3">
        <v>2.7344072475744698</v>
      </c>
      <c r="E83" s="3">
        <v>1.9481816979547</v>
      </c>
      <c r="F83" s="3">
        <v>2.9282906062266298</v>
      </c>
      <c r="G83" s="3">
        <v>2.2014191191469199</v>
      </c>
      <c r="H83" s="3">
        <v>3.9891437798415601</v>
      </c>
      <c r="I83" s="3">
        <v>3.5843032402597501</v>
      </c>
      <c r="J83" s="3">
        <v>3.26005699984354</v>
      </c>
      <c r="K83" s="3">
        <v>1.6655024029610399</v>
      </c>
      <c r="L83" s="3">
        <v>4.5042195019496098</v>
      </c>
      <c r="M83" s="3">
        <v>4.0973903190368297</v>
      </c>
      <c r="N83" s="3">
        <v>3.4081812103404099</v>
      </c>
      <c r="O83" s="3">
        <v>1.4018122603763601</v>
      </c>
      <c r="P83" s="3">
        <v>1.59834287887065</v>
      </c>
      <c r="Q83" s="3">
        <v>3.7123704451464099</v>
      </c>
      <c r="R83" s="3">
        <v>2.8297499312202401</v>
      </c>
      <c r="S83" s="3">
        <v>5.4347482393844198</v>
      </c>
      <c r="T83" s="3">
        <v>4.42429781352996</v>
      </c>
      <c r="U83" s="3">
        <v>1.11011787752004</v>
      </c>
      <c r="V83" s="3">
        <v>3.3014320226468299</v>
      </c>
    </row>
    <row r="84" spans="1:22" x14ac:dyDescent="0.35">
      <c r="A84" s="2">
        <v>44335</v>
      </c>
      <c r="B84" s="3">
        <v>1.8706653555024</v>
      </c>
      <c r="C84" s="3">
        <v>4.0756183540911</v>
      </c>
      <c r="D84" s="3">
        <v>2.8877881561161001</v>
      </c>
      <c r="E84" s="3">
        <v>2.15389521247719</v>
      </c>
      <c r="F84" s="3">
        <v>2.8667425706025602</v>
      </c>
      <c r="G84" s="3">
        <v>2.3368664324578501</v>
      </c>
      <c r="H84" s="3">
        <v>4.0439505466486496</v>
      </c>
      <c r="I84" s="3">
        <v>4.2124285307678004</v>
      </c>
      <c r="J84" s="3">
        <v>3.1265221823098699</v>
      </c>
      <c r="K84" s="3">
        <v>1.7380020351827301</v>
      </c>
      <c r="L84" s="3">
        <v>4.7148897820809896</v>
      </c>
      <c r="M84" s="3">
        <v>4.3400452606780204</v>
      </c>
      <c r="N84" s="3">
        <v>3.2013065751417802</v>
      </c>
      <c r="O84" s="3">
        <v>1.4023310241362701</v>
      </c>
      <c r="P84" s="3">
        <v>1.6812294316054299</v>
      </c>
      <c r="Q84" s="3">
        <v>3.8295359963467002</v>
      </c>
      <c r="R84" s="3">
        <v>2.9237115740408899</v>
      </c>
      <c r="S84" s="3">
        <v>5.3589499064003698</v>
      </c>
      <c r="T84" s="3">
        <v>4.3484827769409602</v>
      </c>
      <c r="U84" s="3">
        <v>1.21339664470742</v>
      </c>
      <c r="V84" s="3">
        <v>3.3108323413795802</v>
      </c>
    </row>
    <row r="85" spans="1:22" x14ac:dyDescent="0.35">
      <c r="A85" s="2">
        <v>44365</v>
      </c>
      <c r="B85" s="3">
        <v>1.86837967846437</v>
      </c>
      <c r="C85" s="3">
        <v>3.9295422303544001</v>
      </c>
      <c r="D85" s="3">
        <v>2.9442237227969499</v>
      </c>
      <c r="E85" s="3">
        <v>1.9325460135753201</v>
      </c>
      <c r="F85" s="3">
        <v>3.00395305743639</v>
      </c>
      <c r="G85" s="3">
        <v>2.90600066769239</v>
      </c>
      <c r="H85" s="3">
        <v>4.0830776791921597</v>
      </c>
      <c r="I85" s="3">
        <v>4.0263479734878</v>
      </c>
      <c r="J85" s="3">
        <v>3.1338626791542601</v>
      </c>
      <c r="K85" s="3">
        <v>1.65851966306653</v>
      </c>
      <c r="L85" s="3">
        <v>4.72643889075378</v>
      </c>
      <c r="M85" s="3">
        <v>4.2849274258882399</v>
      </c>
      <c r="N85" s="3">
        <v>3.01799367182912</v>
      </c>
      <c r="O85" s="3">
        <v>1.4027613105776799</v>
      </c>
      <c r="P85" s="3">
        <v>1.6297249504137901</v>
      </c>
      <c r="Q85" s="3">
        <v>3.8375111056050901</v>
      </c>
      <c r="R85" s="3">
        <v>2.8302475889786001</v>
      </c>
      <c r="S85" s="3">
        <v>5.5948738954397603</v>
      </c>
      <c r="T85" s="3">
        <v>4.3822338512371104</v>
      </c>
      <c r="U85" s="3">
        <v>1.21571532171733</v>
      </c>
      <c r="V85" s="3">
        <v>3.2119682182793499</v>
      </c>
    </row>
    <row r="86" spans="1:22" x14ac:dyDescent="0.35">
      <c r="A86" s="2">
        <v>44396</v>
      </c>
      <c r="B86" s="3">
        <v>1.85810832939781</v>
      </c>
      <c r="C86" s="3">
        <v>4.3135607908032201</v>
      </c>
      <c r="D86" s="3">
        <v>3.0984237908221601</v>
      </c>
      <c r="E86" s="3">
        <v>2.01095478019643</v>
      </c>
      <c r="F86" s="3">
        <v>3.1689451878132102</v>
      </c>
      <c r="G86" s="3">
        <v>3.0704969657081298</v>
      </c>
      <c r="H86" s="3">
        <v>4.2378969712842203</v>
      </c>
      <c r="I86" s="3">
        <v>4.04642939489925</v>
      </c>
      <c r="J86" s="3">
        <v>3.2017007885919302</v>
      </c>
      <c r="K86" s="3">
        <v>1.7035259613303699</v>
      </c>
      <c r="L86" s="3">
        <v>5.2925094395269303</v>
      </c>
      <c r="M86" s="3">
        <v>4.6334520680077302</v>
      </c>
      <c r="N86" s="3">
        <v>3.1322365476827501</v>
      </c>
      <c r="O86" s="3">
        <v>1.3994933583046101</v>
      </c>
      <c r="P86" s="3">
        <v>1.70328824775497</v>
      </c>
      <c r="Q86" s="3">
        <v>3.9071023525266799</v>
      </c>
      <c r="R86" s="3">
        <v>2.9794744810106599</v>
      </c>
      <c r="S86" s="3">
        <v>6.05874648830605</v>
      </c>
      <c r="T86" s="3">
        <v>4.71877529468075</v>
      </c>
      <c r="U86" s="3">
        <v>1.46118576053948</v>
      </c>
      <c r="V86" s="3">
        <v>3.27272008989052</v>
      </c>
    </row>
    <row r="87" spans="1:22" x14ac:dyDescent="0.35">
      <c r="A87" s="2">
        <v>44427</v>
      </c>
      <c r="B87" s="3">
        <v>1.9920394872571501</v>
      </c>
      <c r="C87" s="3">
        <v>4.8348317314714802</v>
      </c>
      <c r="D87" s="3">
        <v>3.0734130177430301</v>
      </c>
      <c r="E87" s="3">
        <v>2.0016916287847599</v>
      </c>
      <c r="F87" s="3">
        <v>3.0037578049521501</v>
      </c>
      <c r="G87" s="3">
        <v>3.75678718981559</v>
      </c>
      <c r="H87" s="3">
        <v>4.19982323563229</v>
      </c>
      <c r="I87" s="3">
        <v>4.4723578164542497</v>
      </c>
      <c r="J87" s="3">
        <v>3.1786337418707902</v>
      </c>
      <c r="K87" s="3">
        <v>1.85095094789604</v>
      </c>
      <c r="L87" s="3">
        <v>5.9036759548183504</v>
      </c>
      <c r="M87" s="3">
        <v>5.1165095113199097</v>
      </c>
      <c r="N87" s="3">
        <v>3.09813520862498</v>
      </c>
      <c r="O87" s="3">
        <v>1.3407477658478799</v>
      </c>
      <c r="P87" s="3">
        <v>2.0008808135539198</v>
      </c>
      <c r="Q87" s="3">
        <v>3.8738048103205598</v>
      </c>
      <c r="R87" s="3">
        <v>2.97339099439007</v>
      </c>
      <c r="S87" s="3">
        <v>5.85954250230842</v>
      </c>
      <c r="T87" s="3">
        <v>4.5283896337319502</v>
      </c>
      <c r="U87" s="3">
        <v>1.40808897659643</v>
      </c>
      <c r="V87" s="3">
        <v>3.1785064053148901</v>
      </c>
    </row>
    <row r="88" spans="1:22" x14ac:dyDescent="0.35">
      <c r="A88" s="2">
        <v>44456</v>
      </c>
      <c r="B88" s="3">
        <v>1.9816447745664301</v>
      </c>
      <c r="C88" s="3">
        <v>4.58808375899594</v>
      </c>
      <c r="D88" s="3">
        <v>3.1102962638098499</v>
      </c>
      <c r="E88" s="3">
        <v>1.8603206077647501</v>
      </c>
      <c r="F88" s="3">
        <v>2.9740830170681298</v>
      </c>
      <c r="G88" s="3">
        <v>3.6544399192208399</v>
      </c>
      <c r="H88" s="3">
        <v>4.0275398182278996</v>
      </c>
      <c r="I88" s="3">
        <v>4.27744539233941</v>
      </c>
      <c r="J88" s="3">
        <v>3.1728783377079499</v>
      </c>
      <c r="K88" s="3">
        <v>1.8388537144911801</v>
      </c>
      <c r="L88" s="3">
        <v>6.5160082663657599</v>
      </c>
      <c r="M88" s="3">
        <v>5.1551402927685999</v>
      </c>
      <c r="N88" s="3">
        <v>2.9751069329380599</v>
      </c>
      <c r="O88" s="3">
        <v>1.27395565479463</v>
      </c>
      <c r="P88" s="3">
        <v>1.9186605027050401</v>
      </c>
      <c r="Q88" s="3">
        <v>4.0951517257527303</v>
      </c>
      <c r="R88" s="3">
        <v>2.84895312968822</v>
      </c>
      <c r="S88" s="3">
        <v>6.0679369001786796</v>
      </c>
      <c r="T88" s="3">
        <v>4.1696776843507903</v>
      </c>
      <c r="U88" s="3">
        <v>1.3874221502083099</v>
      </c>
      <c r="V88" s="3">
        <v>3.0533171796924501</v>
      </c>
    </row>
    <row r="89" spans="1:22" x14ac:dyDescent="0.35">
      <c r="A89" s="2">
        <v>44488</v>
      </c>
      <c r="B89" s="3">
        <v>1.9850200556573601</v>
      </c>
      <c r="C89" s="3">
        <v>5.12278937536332</v>
      </c>
      <c r="D89" s="3">
        <v>2.85506170280031</v>
      </c>
      <c r="E89" s="3">
        <v>1.79185955026512</v>
      </c>
      <c r="F89" s="3">
        <v>2.9892140295244198</v>
      </c>
      <c r="G89" s="3">
        <v>3.44865872983946</v>
      </c>
      <c r="H89" s="3">
        <v>3.85784248026029</v>
      </c>
      <c r="I89" s="3">
        <v>4.4228162697513396</v>
      </c>
      <c r="J89" s="3">
        <v>3.3138504354039502</v>
      </c>
      <c r="K89" s="3">
        <v>1.9250835566095701</v>
      </c>
      <c r="L89" s="3">
        <v>6.6970011656100104</v>
      </c>
      <c r="M89" s="3">
        <v>4.7474913148875499</v>
      </c>
      <c r="N89" s="3">
        <v>3.0380025408591398</v>
      </c>
      <c r="O89" s="3">
        <v>1.2749718011003199</v>
      </c>
      <c r="P89" s="3">
        <v>1.8729101395805701</v>
      </c>
      <c r="Q89" s="3">
        <v>3.8282443785777902</v>
      </c>
      <c r="R89" s="3">
        <v>2.83852037254207</v>
      </c>
      <c r="S89" s="3">
        <v>6.1232957165834598</v>
      </c>
      <c r="T89" s="3">
        <v>4.0810531369617804</v>
      </c>
      <c r="U89" s="3">
        <v>1.4221370714892201</v>
      </c>
      <c r="V89" s="3">
        <v>2.8798262819284899</v>
      </c>
    </row>
    <row r="90" spans="1:22" x14ac:dyDescent="0.35">
      <c r="A90" s="2">
        <v>44519</v>
      </c>
      <c r="B90" s="3">
        <v>1.9913780565226</v>
      </c>
      <c r="C90" s="3">
        <v>5.0465195455951601</v>
      </c>
      <c r="D90" s="3">
        <v>3.0553865402348999</v>
      </c>
      <c r="E90" s="3">
        <v>1.7680482042163199</v>
      </c>
      <c r="F90" s="3">
        <v>3.1957191551556701</v>
      </c>
      <c r="G90" s="3">
        <v>3.7882247731609402</v>
      </c>
      <c r="H90" s="3">
        <v>3.9789309647732098</v>
      </c>
      <c r="I90" s="3">
        <v>4.2111391117968298</v>
      </c>
      <c r="J90" s="3">
        <v>3.5307322697718302</v>
      </c>
      <c r="K90" s="3">
        <v>1.9809838596457101</v>
      </c>
      <c r="L90" s="3">
        <v>7.7362573041753997</v>
      </c>
      <c r="M90" s="3">
        <v>4.5274967997348297</v>
      </c>
      <c r="N90" s="3">
        <v>2.7953839193167198</v>
      </c>
      <c r="O90" s="3">
        <v>1.3519398809893299</v>
      </c>
      <c r="P90" s="3">
        <v>1.98255752579297</v>
      </c>
      <c r="Q90" s="3">
        <v>3.8326086450354202</v>
      </c>
      <c r="R90" s="3">
        <v>2.8034757210610599</v>
      </c>
      <c r="S90" s="3">
        <v>5.0955396857700803</v>
      </c>
      <c r="T90" s="3">
        <v>3.67660805352617</v>
      </c>
      <c r="U90" s="3">
        <v>1.3652912432190201</v>
      </c>
      <c r="V90" s="3">
        <v>3.0471054592153202</v>
      </c>
    </row>
    <row r="91" spans="1:22" x14ac:dyDescent="0.35">
      <c r="A91" s="2">
        <v>44547</v>
      </c>
      <c r="B91" s="3">
        <v>1.9611652013218099</v>
      </c>
      <c r="C91" s="3">
        <v>5.2616679827647301</v>
      </c>
      <c r="D91" s="3">
        <v>3.1413497089345199</v>
      </c>
      <c r="E91" s="3">
        <v>1.75148595702875</v>
      </c>
      <c r="F91" s="3">
        <v>3.4272316376442302</v>
      </c>
      <c r="G91" s="3">
        <v>4.2695580896803698</v>
      </c>
      <c r="H91" s="3">
        <v>3.8899839430960998</v>
      </c>
      <c r="I91" s="3">
        <v>4.2042073664229198</v>
      </c>
      <c r="J91" s="3">
        <v>3.4448941340256498</v>
      </c>
      <c r="K91" s="3">
        <v>1.9201117016064999</v>
      </c>
      <c r="L91" s="3">
        <v>7.4775200092805703</v>
      </c>
      <c r="M91" s="3">
        <v>4.6445490820100597</v>
      </c>
      <c r="N91" s="3">
        <v>3.1919434230400299</v>
      </c>
      <c r="O91" s="3">
        <v>1.39313317420965</v>
      </c>
      <c r="P91" s="3">
        <v>2.1457151565377299</v>
      </c>
      <c r="Q91" s="3">
        <v>3.9963748976126401</v>
      </c>
      <c r="R91" s="3">
        <v>2.8810614683695701</v>
      </c>
      <c r="S91" s="3">
        <v>4.70745243257924</v>
      </c>
      <c r="T91" s="3">
        <v>4.1110658459485698</v>
      </c>
      <c r="U91" s="3">
        <v>1.49641968144767</v>
      </c>
      <c r="V91" s="3">
        <v>3.2151749421649498</v>
      </c>
    </row>
    <row r="92" spans="1:22" x14ac:dyDescent="0.35">
      <c r="A92" s="2">
        <v>44580</v>
      </c>
      <c r="B92" s="3">
        <v>2.0841300431515402</v>
      </c>
      <c r="C92" s="3">
        <v>4.9533114257811297</v>
      </c>
      <c r="D92" s="3">
        <v>3.1602774251189398</v>
      </c>
      <c r="E92" s="3">
        <v>1.8062872083739501</v>
      </c>
      <c r="F92" s="3">
        <v>3.10898900921925</v>
      </c>
      <c r="G92" s="3">
        <v>3.5357122642265399</v>
      </c>
      <c r="H92" s="3">
        <v>3.8305127622285799</v>
      </c>
      <c r="I92" s="3">
        <v>4.2272429307147599</v>
      </c>
      <c r="J92" s="3">
        <v>3.4339726593536901</v>
      </c>
      <c r="K92" s="3">
        <v>2.0363126283008302</v>
      </c>
      <c r="L92" s="3">
        <v>7.1429773579513496</v>
      </c>
      <c r="M92" s="3">
        <v>4.4287455625939298</v>
      </c>
      <c r="N92" s="3">
        <v>3.09104401562342</v>
      </c>
      <c r="O92" s="3">
        <v>1.3392017591116101</v>
      </c>
      <c r="P92" s="3">
        <v>2.15365108126844</v>
      </c>
      <c r="Q92" s="3">
        <v>3.8916209096801002</v>
      </c>
      <c r="R92" s="3">
        <v>2.8598208114861801</v>
      </c>
      <c r="S92" s="3">
        <v>5.55168353286306</v>
      </c>
      <c r="T92" s="3">
        <v>4.2983571879786702</v>
      </c>
      <c r="U92" s="3">
        <v>1.5747981507941</v>
      </c>
      <c r="V92" s="3">
        <v>2.9907201006428901</v>
      </c>
    </row>
    <row r="93" spans="1:22" x14ac:dyDescent="0.35">
      <c r="A93" s="2">
        <v>44610</v>
      </c>
      <c r="B93" s="3">
        <v>2.1804867699980099</v>
      </c>
      <c r="C93" s="3">
        <v>4.7506034404165796</v>
      </c>
      <c r="D93" s="3">
        <v>3.0895012373530402</v>
      </c>
      <c r="E93" s="3">
        <v>1.81220166741682</v>
      </c>
      <c r="F93" s="3">
        <v>3.4122675745833599</v>
      </c>
      <c r="G93" s="3">
        <v>3.4437637520600499</v>
      </c>
      <c r="H93" s="3">
        <v>3.74794527755405</v>
      </c>
      <c r="I93" s="3">
        <v>4.2868952806170197</v>
      </c>
      <c r="J93" s="3">
        <v>3.6525601753681101</v>
      </c>
      <c r="K93" s="3">
        <v>2.1614990664330298</v>
      </c>
      <c r="L93" s="3">
        <v>6.8720238788017198</v>
      </c>
      <c r="M93" s="3">
        <v>4.3330824562766699</v>
      </c>
      <c r="N93" s="3">
        <v>2.9659683375168502</v>
      </c>
      <c r="O93" s="3">
        <v>1.45556391127064</v>
      </c>
      <c r="P93" s="3">
        <v>2.2179175406656202</v>
      </c>
      <c r="Q93" s="3">
        <v>3.9736947981303601</v>
      </c>
      <c r="R93" s="3">
        <v>2.8204392285590201</v>
      </c>
      <c r="S93" s="3">
        <v>5.8207722581608499</v>
      </c>
      <c r="T93" s="3">
        <v>3.9359227988916898</v>
      </c>
      <c r="U93" s="3">
        <v>1.68370541583529</v>
      </c>
      <c r="V93" s="3">
        <v>2.97555718654825</v>
      </c>
    </row>
    <row r="94" spans="1:22" x14ac:dyDescent="0.35">
      <c r="A94" s="2">
        <v>44638</v>
      </c>
      <c r="B94" s="3">
        <v>2.3584375772585902</v>
      </c>
      <c r="C94" s="3">
        <v>4.6393977866688401</v>
      </c>
      <c r="D94" s="3">
        <v>3.23238549742763</v>
      </c>
      <c r="E94" s="3">
        <v>1.9557311036415199</v>
      </c>
      <c r="F94" s="3">
        <v>3.5350432914996901</v>
      </c>
      <c r="G94" s="3">
        <v>3.55529061383776</v>
      </c>
      <c r="H94" s="3">
        <v>3.7968014489606001</v>
      </c>
      <c r="I94" s="3">
        <v>4.5246607982945299</v>
      </c>
      <c r="J94" s="3">
        <v>3.4351703857896498</v>
      </c>
      <c r="K94" s="3">
        <v>2.22322161682728</v>
      </c>
      <c r="L94" s="3">
        <v>9.1205105229482495</v>
      </c>
      <c r="M94" s="3">
        <v>4.33121679588153</v>
      </c>
      <c r="N94" s="3">
        <v>3.0977047473163601</v>
      </c>
      <c r="O94" s="3">
        <v>1.4607916544489199</v>
      </c>
      <c r="P94" s="3">
        <v>2.5145780589392399</v>
      </c>
      <c r="Q94" s="3">
        <v>3.71905937512898</v>
      </c>
      <c r="R94" s="3">
        <v>2.9130125444822599</v>
      </c>
      <c r="S94" s="3">
        <v>5.9844267662608104</v>
      </c>
      <c r="T94" s="3">
        <v>3.6968129564795098</v>
      </c>
      <c r="U94" s="3">
        <v>1.8260373295012799</v>
      </c>
      <c r="V94" s="3">
        <v>2.9153702258512699</v>
      </c>
    </row>
    <row r="95" spans="1:22" x14ac:dyDescent="0.35">
      <c r="A95" s="2">
        <v>44670</v>
      </c>
      <c r="B95" s="3">
        <v>2.44472054339455</v>
      </c>
      <c r="C95" s="3">
        <v>4.79818898307692</v>
      </c>
      <c r="D95" s="3">
        <v>3.32164552580302</v>
      </c>
      <c r="E95" s="3">
        <v>2.0453765609946899</v>
      </c>
      <c r="F95" s="3">
        <v>3.4769262192791999</v>
      </c>
      <c r="G95" s="3">
        <v>3.8449750586546001</v>
      </c>
      <c r="H95" s="3">
        <v>3.8739286307020802</v>
      </c>
      <c r="I95" s="3">
        <v>4.6802616024834904</v>
      </c>
      <c r="J95" s="3">
        <v>3.5235376366783</v>
      </c>
      <c r="K95" s="3">
        <v>2.2498825884901601</v>
      </c>
      <c r="L95" s="3">
        <v>8.4645380637978107</v>
      </c>
      <c r="M95" s="3">
        <v>4.6202564228319201</v>
      </c>
      <c r="N95" s="3">
        <v>3.1560084649353501</v>
      </c>
      <c r="O95" s="3">
        <v>1.50116247504399</v>
      </c>
      <c r="P95" s="3">
        <v>2.6454804583975702</v>
      </c>
      <c r="Q95" s="3">
        <v>3.7075596772303001</v>
      </c>
      <c r="R95" s="3">
        <v>2.99442973302944</v>
      </c>
      <c r="S95" s="3">
        <v>5.34839387959543</v>
      </c>
      <c r="T95" s="3">
        <v>3.4759739834431</v>
      </c>
      <c r="U95" s="3">
        <v>1.68065202975751</v>
      </c>
      <c r="V95" s="3">
        <v>2.7470491675934201</v>
      </c>
    </row>
    <row r="96" spans="1:22" x14ac:dyDescent="0.35">
      <c r="A96" s="2">
        <v>44700</v>
      </c>
      <c r="B96" s="3">
        <v>2.46780546701225</v>
      </c>
      <c r="C96" s="3">
        <v>5.4218001053877201</v>
      </c>
      <c r="D96" s="3">
        <v>3.5400134882704801</v>
      </c>
      <c r="E96" s="3">
        <v>2.3540784354882498</v>
      </c>
      <c r="F96" s="3">
        <v>3.9888823772963198</v>
      </c>
      <c r="G96" s="3">
        <v>4.5951444884924699</v>
      </c>
      <c r="H96" s="3">
        <v>3.9976715367444999</v>
      </c>
      <c r="I96" s="3">
        <v>4.8869764458041303</v>
      </c>
      <c r="J96" s="3">
        <v>3.7422030103153601</v>
      </c>
      <c r="K96" s="3">
        <v>2.3770021292602399</v>
      </c>
      <c r="L96" s="3">
        <v>10.229501302889</v>
      </c>
      <c r="M96" s="3">
        <v>5.0021409200919296</v>
      </c>
      <c r="N96" s="3">
        <v>3.67206683718672</v>
      </c>
      <c r="O96" s="3">
        <v>1.70833922560699</v>
      </c>
      <c r="P96" s="3">
        <v>2.6251906037345498</v>
      </c>
      <c r="Q96" s="3">
        <v>4.1635503089142096</v>
      </c>
      <c r="R96" s="3">
        <v>3.0832311848395202</v>
      </c>
      <c r="S96" s="3">
        <v>5.60982151849469</v>
      </c>
      <c r="T96" s="3">
        <v>3.9429495299799799</v>
      </c>
      <c r="U96" s="3">
        <v>1.8201461547056801</v>
      </c>
      <c r="V96" s="3">
        <v>2.9851771591996399</v>
      </c>
    </row>
    <row r="97" spans="1:22" x14ac:dyDescent="0.35">
      <c r="A97" s="2">
        <v>44729</v>
      </c>
      <c r="B97" s="3">
        <v>2.3075832323779699</v>
      </c>
      <c r="C97" s="3">
        <v>6.9420232457658102</v>
      </c>
      <c r="D97" s="3">
        <v>3.5653743262436799</v>
      </c>
      <c r="E97" s="3">
        <v>2.3280801794155601</v>
      </c>
      <c r="F97" s="3">
        <v>4.4088636945389803</v>
      </c>
      <c r="G97" s="3">
        <v>5.0126040750265997</v>
      </c>
      <c r="H97" s="3">
        <v>4.1876485804345904</v>
      </c>
      <c r="I97" s="3">
        <v>4.9608263297299198</v>
      </c>
      <c r="J97" s="3">
        <v>4.1615203800800504</v>
      </c>
      <c r="K97" s="3">
        <v>2.5292512162255099</v>
      </c>
      <c r="L97" s="3">
        <v>10.9032024899589</v>
      </c>
      <c r="M97" s="3">
        <v>5.2412221577580898</v>
      </c>
      <c r="N97" s="3">
        <v>4.1888276004469098</v>
      </c>
      <c r="O97" s="3">
        <v>1.7334235803589499</v>
      </c>
      <c r="P97" s="3">
        <v>2.4454147794802998</v>
      </c>
      <c r="Q97" s="3">
        <v>4.4312699122435504</v>
      </c>
      <c r="R97" s="3">
        <v>3.1760251711007998</v>
      </c>
      <c r="S97" s="3">
        <v>5.3834475638458299</v>
      </c>
      <c r="T97" s="3">
        <v>4.3233652900425303</v>
      </c>
      <c r="U97" s="3">
        <v>1.93318141798525</v>
      </c>
      <c r="V97" s="3">
        <v>3.12700401414628</v>
      </c>
    </row>
    <row r="98" spans="1:22" x14ac:dyDescent="0.35">
      <c r="A98" s="2">
        <v>44761</v>
      </c>
      <c r="B98" s="3">
        <v>2.3578280496392399</v>
      </c>
      <c r="C98" s="3">
        <v>7.4377599618249697</v>
      </c>
      <c r="D98" s="3">
        <v>3.7221305406375702</v>
      </c>
      <c r="E98" s="3">
        <v>2.4705834192481402</v>
      </c>
      <c r="F98" s="3">
        <v>4.2889192826079201</v>
      </c>
      <c r="G98" s="3">
        <v>5.2394191878998901</v>
      </c>
      <c r="H98" s="3">
        <v>4.2290412761951801</v>
      </c>
      <c r="I98" s="3">
        <v>5.2401428681570401</v>
      </c>
      <c r="J98" s="3">
        <v>4.05299510007886</v>
      </c>
      <c r="K98" s="3">
        <v>2.6027264383088098</v>
      </c>
      <c r="L98" s="3">
        <v>11.4127013267049</v>
      </c>
      <c r="M98" s="3">
        <v>4.9737162929618597</v>
      </c>
      <c r="N98" s="3">
        <v>4.3610609652282202</v>
      </c>
      <c r="O98" s="3">
        <v>1.5997193983726301</v>
      </c>
      <c r="P98" s="3">
        <v>2.4638027694157798</v>
      </c>
      <c r="Q98" s="3">
        <v>4.2663938234685403</v>
      </c>
      <c r="R98" s="3">
        <v>3.2298710501502801</v>
      </c>
      <c r="S98" s="3">
        <v>6.0947979636381504</v>
      </c>
      <c r="T98" s="3">
        <v>4.3287113582438899</v>
      </c>
      <c r="U98" s="3">
        <v>1.95157852348953</v>
      </c>
      <c r="V98" s="3">
        <v>3.2752039771205799</v>
      </c>
    </row>
    <row r="99" spans="1:22" x14ac:dyDescent="0.35">
      <c r="A99" s="2">
        <v>44792</v>
      </c>
      <c r="B99" s="3">
        <v>2.39692734589419</v>
      </c>
      <c r="C99" s="3">
        <v>7.5449476696828999</v>
      </c>
      <c r="D99" s="3">
        <v>3.6363969091281598</v>
      </c>
      <c r="E99" s="3">
        <v>2.2387302042053201</v>
      </c>
      <c r="F99" s="3">
        <v>4.29134325787191</v>
      </c>
      <c r="G99" s="3">
        <v>5.2664542277770501</v>
      </c>
      <c r="H99" s="3">
        <v>4.0448994310234196</v>
      </c>
      <c r="I99" s="3">
        <v>4.8759186483289598</v>
      </c>
      <c r="J99" s="3">
        <v>3.97954398692386</v>
      </c>
      <c r="K99" s="3">
        <v>2.50352607842991</v>
      </c>
      <c r="L99" s="3">
        <v>10.6266898715082</v>
      </c>
      <c r="M99" s="3">
        <v>5.04581192650598</v>
      </c>
      <c r="N99" s="3">
        <v>3.8982440806164602</v>
      </c>
      <c r="O99" s="3">
        <v>1.47155314331442</v>
      </c>
      <c r="P99" s="3">
        <v>2.5940304947600299</v>
      </c>
      <c r="Q99" s="3">
        <v>3.64580577756877</v>
      </c>
      <c r="R99" s="3">
        <v>3.1125239695909999</v>
      </c>
      <c r="S99" s="3">
        <v>4.9514093031371198</v>
      </c>
      <c r="T99" s="3">
        <v>4.0433487407118998</v>
      </c>
      <c r="U99" s="3">
        <v>1.9267956699772699</v>
      </c>
      <c r="V99" s="3">
        <v>3.0341612126855102</v>
      </c>
    </row>
    <row r="100" spans="1:22" x14ac:dyDescent="0.35">
      <c r="A100" s="2">
        <v>44823</v>
      </c>
      <c r="B100" s="3">
        <v>2.5843891571973501</v>
      </c>
      <c r="C100" s="3">
        <v>6.6112192805505199</v>
      </c>
      <c r="D100" s="3">
        <v>3.5688470927148201</v>
      </c>
      <c r="E100" s="3">
        <v>2.3883818366195002</v>
      </c>
      <c r="F100" s="3">
        <v>4.6056178799399596</v>
      </c>
      <c r="G100" s="3">
        <v>4.9406061016592098</v>
      </c>
      <c r="H100" s="3">
        <v>4.2404423313332797</v>
      </c>
      <c r="I100" s="3">
        <v>5.0937013513930101</v>
      </c>
      <c r="J100" s="3">
        <v>4.2642972816359102</v>
      </c>
      <c r="K100" s="3">
        <v>2.6839809430791801</v>
      </c>
      <c r="L100" s="3">
        <v>10.357975626777099</v>
      </c>
      <c r="M100" s="3">
        <v>5.3937152044013397</v>
      </c>
      <c r="N100" s="3">
        <v>4.49021775841645</v>
      </c>
      <c r="O100" s="3">
        <v>1.50498347476382</v>
      </c>
      <c r="P100" s="3">
        <v>2.6298517819691001</v>
      </c>
      <c r="Q100" s="3">
        <v>3.9643218424697602</v>
      </c>
      <c r="R100" s="3">
        <v>3.08848314302413</v>
      </c>
      <c r="S100" s="3">
        <v>5.1107334221964402</v>
      </c>
      <c r="T100" s="3">
        <v>4.1393519338390199</v>
      </c>
      <c r="U100" s="3">
        <v>2.1519686639106399</v>
      </c>
      <c r="V100" s="3">
        <v>3.4402718517708899</v>
      </c>
    </row>
    <row r="101" spans="1:22" x14ac:dyDescent="0.35">
      <c r="A101" s="2">
        <v>44853</v>
      </c>
      <c r="B101" s="3">
        <v>2.6880035972607002</v>
      </c>
      <c r="C101" s="3">
        <v>7.1904533869977501</v>
      </c>
      <c r="D101" s="3">
        <v>3.8711843719708399</v>
      </c>
      <c r="E101" s="3">
        <v>2.5898266867641402</v>
      </c>
      <c r="F101" s="3">
        <v>5.1525946630789798</v>
      </c>
      <c r="G101" s="3">
        <v>5.1918670366713897</v>
      </c>
      <c r="H101" s="3">
        <v>4.3721678832832804</v>
      </c>
      <c r="I101" s="3">
        <v>5.4229677814289703</v>
      </c>
      <c r="J101" s="3">
        <v>4.1221666826031802</v>
      </c>
      <c r="K101" s="3">
        <v>2.72600131845482</v>
      </c>
      <c r="L101" s="3">
        <v>9.2601019475073905</v>
      </c>
      <c r="M101" s="3">
        <v>5.5028747948908503</v>
      </c>
      <c r="N101" s="3">
        <v>4.4658315015375898</v>
      </c>
      <c r="O101" s="3">
        <v>1.5185285536266899</v>
      </c>
      <c r="P101" s="3">
        <v>2.9545120436894501</v>
      </c>
      <c r="Q101" s="3">
        <v>4.0186775862279198</v>
      </c>
      <c r="R101" s="3">
        <v>3.1784917722831998</v>
      </c>
      <c r="S101" s="3">
        <v>5.00263347759177</v>
      </c>
      <c r="T101" s="3">
        <v>4.4111715408766203</v>
      </c>
      <c r="U101" s="3">
        <v>2.4797689074942899</v>
      </c>
      <c r="V101" s="3">
        <v>3.3387531611513501</v>
      </c>
    </row>
    <row r="102" spans="1:22" x14ac:dyDescent="0.35">
      <c r="A102" s="2">
        <v>44883</v>
      </c>
      <c r="B102" s="3">
        <v>2.6036431863529801</v>
      </c>
      <c r="C102" s="3">
        <v>9.0707487163186098</v>
      </c>
      <c r="D102" s="3">
        <v>3.9220205857592298</v>
      </c>
      <c r="E102" s="3">
        <v>2.4661220612388202</v>
      </c>
      <c r="F102" s="3">
        <v>4.28631677827026</v>
      </c>
      <c r="G102" s="3">
        <v>3.8198541626364202</v>
      </c>
      <c r="H102" s="3">
        <v>4.2546426960281396</v>
      </c>
      <c r="I102" s="3">
        <v>4.4951464978531703</v>
      </c>
      <c r="J102" s="3">
        <v>3.6813132316769801</v>
      </c>
      <c r="K102" s="3">
        <v>2.5040744195638398</v>
      </c>
      <c r="L102" s="3">
        <v>8.4632646181693492</v>
      </c>
      <c r="M102" s="3">
        <v>4.9549388898200499</v>
      </c>
      <c r="N102" s="3">
        <v>4.5951389419019799</v>
      </c>
      <c r="O102" s="3">
        <v>1.48866358971529</v>
      </c>
      <c r="P102" s="3">
        <v>2.67828390215442</v>
      </c>
      <c r="Q102" s="3">
        <v>4.1651048316706003</v>
      </c>
      <c r="R102" s="3">
        <v>3.0594640705351601</v>
      </c>
      <c r="S102" s="3">
        <v>5.0406282114022298</v>
      </c>
      <c r="T102" s="3">
        <v>4.3718124021765199</v>
      </c>
      <c r="U102" s="3">
        <v>2.5811812779810599</v>
      </c>
      <c r="V102" s="3">
        <v>3.5004644160943501</v>
      </c>
    </row>
    <row r="103" spans="1:22" x14ac:dyDescent="0.35">
      <c r="A103" s="2">
        <v>44914</v>
      </c>
      <c r="B103" s="3">
        <v>2.5360056042766099</v>
      </c>
      <c r="C103" s="3">
        <v>8.6952329030444506</v>
      </c>
      <c r="D103" s="3">
        <v>4.0370942870708202</v>
      </c>
      <c r="E103" s="3">
        <v>2.4263659528298001</v>
      </c>
      <c r="F103" s="3">
        <v>4.2995037958712903</v>
      </c>
      <c r="G103" s="3">
        <v>3.95220590746391</v>
      </c>
      <c r="H103" s="3">
        <v>4.2193083858848199</v>
      </c>
      <c r="I103" s="3">
        <v>4.4627962959814003</v>
      </c>
      <c r="J103" s="3">
        <v>3.8476480746654498</v>
      </c>
      <c r="K103" s="3">
        <v>2.54772741362176</v>
      </c>
      <c r="L103" s="3">
        <v>7.2021160763400598</v>
      </c>
      <c r="M103" s="3">
        <v>4.8952770764616798</v>
      </c>
      <c r="N103" s="3">
        <v>4.4097765521555301</v>
      </c>
      <c r="O103" s="3">
        <v>1.46163648750395</v>
      </c>
      <c r="P103" s="3">
        <v>2.4818376658647399</v>
      </c>
      <c r="Q103" s="3">
        <v>4.6610049628598098</v>
      </c>
      <c r="R103" s="3">
        <v>3.04722801004662</v>
      </c>
      <c r="S103" s="3">
        <v>4.4497684204857704</v>
      </c>
      <c r="T103" s="3">
        <v>4.6833617285472098</v>
      </c>
      <c r="U103" s="3">
        <v>2.65946451207201</v>
      </c>
      <c r="V103" s="3">
        <v>3.8805114769944602</v>
      </c>
    </row>
    <row r="104" spans="1:22" x14ac:dyDescent="0.35">
      <c r="A104" s="2">
        <v>44945</v>
      </c>
      <c r="B104" s="3">
        <v>2.3876403054534099</v>
      </c>
      <c r="C104" s="3">
        <v>8.1092111084705891</v>
      </c>
      <c r="D104" s="3">
        <v>4.1664452830561496</v>
      </c>
      <c r="E104" s="3">
        <v>2.2250301282016101</v>
      </c>
      <c r="F104" s="3">
        <v>3.98473689143206</v>
      </c>
      <c r="G104" s="3">
        <v>3.60095442839292</v>
      </c>
      <c r="H104" s="3">
        <v>4.1760628282749197</v>
      </c>
      <c r="I104" s="3">
        <v>4.20915914736866</v>
      </c>
      <c r="J104" s="3">
        <v>3.6560146829782001</v>
      </c>
      <c r="K104" s="3">
        <v>2.5091036686002699</v>
      </c>
      <c r="L104" s="3">
        <v>6.5754146491391303</v>
      </c>
      <c r="M104" s="3">
        <v>4.5779418442752497</v>
      </c>
      <c r="N104" s="3">
        <v>4.5546566076491999</v>
      </c>
      <c r="O104" s="3">
        <v>1.4988497632975299</v>
      </c>
      <c r="P104" s="3">
        <v>2.2215281084926599</v>
      </c>
      <c r="Q104" s="3">
        <v>4.6712322656276104</v>
      </c>
      <c r="R104" s="3">
        <v>2.9481654677078901</v>
      </c>
      <c r="S104" s="3">
        <v>4.7418415239316998</v>
      </c>
      <c r="T104" s="3">
        <v>4.73297865612472</v>
      </c>
      <c r="U104" s="3">
        <v>2.6341906625227902</v>
      </c>
      <c r="V104" s="3">
        <v>3.6744864174748399</v>
      </c>
    </row>
    <row r="105" spans="1:22" x14ac:dyDescent="0.35">
      <c r="A105" s="2">
        <v>44974</v>
      </c>
      <c r="B105" s="3">
        <v>2.4447930839417702</v>
      </c>
      <c r="C105" s="3">
        <v>7.9043863275486501</v>
      </c>
      <c r="D105" s="3">
        <v>4.19304081979607</v>
      </c>
      <c r="E105" s="3">
        <v>2.3262394993516202</v>
      </c>
      <c r="F105" s="3">
        <v>4.2223305430794298</v>
      </c>
      <c r="G105" s="3">
        <v>4.2075658570311196</v>
      </c>
      <c r="H105" s="3">
        <v>4.2634790249012902</v>
      </c>
      <c r="I105" s="3">
        <v>4.0173195298924798</v>
      </c>
      <c r="J105" s="3">
        <v>3.5566334718876398</v>
      </c>
      <c r="K105" s="3">
        <v>2.4601075157418899</v>
      </c>
      <c r="L105" s="3">
        <v>6.4582614080518299</v>
      </c>
      <c r="M105" s="3">
        <v>4.6694818271252903</v>
      </c>
      <c r="N105" s="3">
        <v>3.9431430325378098</v>
      </c>
      <c r="O105" s="3">
        <v>1.5394134777586901</v>
      </c>
      <c r="P105" s="3">
        <v>2.3353484831032301</v>
      </c>
      <c r="Q105" s="3">
        <v>4.6992915108529196</v>
      </c>
      <c r="R105" s="3">
        <v>3.0187896600997801</v>
      </c>
      <c r="S105" s="3">
        <v>5.27848298909083</v>
      </c>
      <c r="T105" s="3">
        <v>4.6073122858477804</v>
      </c>
      <c r="U105" s="3">
        <v>2.5674962158530201</v>
      </c>
      <c r="V105" s="3">
        <v>3.70744418481803</v>
      </c>
    </row>
    <row r="106" spans="1:22" x14ac:dyDescent="0.35">
      <c r="A106" s="2">
        <v>45002</v>
      </c>
      <c r="B106" s="3">
        <v>2.53711437910792</v>
      </c>
      <c r="C106" s="3">
        <v>8.9013597844244003</v>
      </c>
      <c r="D106" s="3">
        <v>4.3567684372053996</v>
      </c>
      <c r="E106" s="3">
        <v>2.7280426702146601</v>
      </c>
      <c r="F106" s="3">
        <v>4.8089183698306597</v>
      </c>
      <c r="G106" s="3">
        <v>4.8021836939015596</v>
      </c>
      <c r="H106" s="3">
        <v>4.4879209650566398</v>
      </c>
      <c r="I106" s="3">
        <v>3.9879315999476699</v>
      </c>
      <c r="J106" s="3">
        <v>3.8712192036837001</v>
      </c>
      <c r="K106" s="3">
        <v>2.4898459467076499</v>
      </c>
      <c r="L106" s="3">
        <v>7.1592160729388397</v>
      </c>
      <c r="M106" s="3">
        <v>4.9286099978991302</v>
      </c>
      <c r="N106" s="3">
        <v>4.4589483245807999</v>
      </c>
      <c r="O106" s="3">
        <v>1.6328827567989601</v>
      </c>
      <c r="P106" s="3">
        <v>2.5025378865105399</v>
      </c>
      <c r="Q106" s="3">
        <v>5.0410938610717704</v>
      </c>
      <c r="R106" s="3">
        <v>3.1948162889045801</v>
      </c>
      <c r="S106" s="3">
        <v>4.8334269278624298</v>
      </c>
      <c r="T106" s="3">
        <v>4.9492962326819896</v>
      </c>
      <c r="U106" s="3">
        <v>2.4554253552218102</v>
      </c>
      <c r="V106" s="3">
        <v>3.9414341094160599</v>
      </c>
    </row>
    <row r="107" spans="1:22" x14ac:dyDescent="0.35">
      <c r="A107" s="2">
        <v>45035</v>
      </c>
      <c r="B107" s="3">
        <v>2.4377399772429902</v>
      </c>
      <c r="C107" s="3">
        <v>7.99449698629497</v>
      </c>
      <c r="D107" s="3">
        <v>4.3228513523825001</v>
      </c>
      <c r="E107" s="3">
        <v>2.8058309142192099</v>
      </c>
      <c r="F107" s="3">
        <v>4.4410459459571596</v>
      </c>
      <c r="G107" s="3">
        <v>4.6257405647205401</v>
      </c>
      <c r="H107" s="3">
        <v>4.4167589938006504</v>
      </c>
      <c r="I107" s="3">
        <v>3.89307489347487</v>
      </c>
      <c r="J107" s="3">
        <v>3.6716427397550002</v>
      </c>
      <c r="K107" s="3">
        <v>2.2869325935099001</v>
      </c>
      <c r="L107" s="3">
        <v>6.6510565344987604</v>
      </c>
      <c r="M107" s="3">
        <v>4.4910178025928804</v>
      </c>
      <c r="N107" s="3">
        <v>4.1828015122400997</v>
      </c>
      <c r="O107" s="3">
        <v>1.6139864623981599</v>
      </c>
      <c r="P107" s="3">
        <v>2.4381243081330499</v>
      </c>
      <c r="Q107" s="3">
        <v>5.0673138949736698</v>
      </c>
      <c r="R107" s="3">
        <v>3.1310632412172001</v>
      </c>
      <c r="S107" s="3">
        <v>5.0690800964148996</v>
      </c>
      <c r="T107" s="3">
        <v>4.4738438788480801</v>
      </c>
      <c r="U107" s="3">
        <v>2.50677924868249</v>
      </c>
      <c r="V107" s="3">
        <v>3.44103807346626</v>
      </c>
    </row>
    <row r="108" spans="1:22" x14ac:dyDescent="0.35">
      <c r="A108" s="2">
        <v>45065</v>
      </c>
      <c r="B108" s="3">
        <v>2.54716183392018</v>
      </c>
      <c r="C108" s="3">
        <v>7.2368800990498299</v>
      </c>
      <c r="D108" s="3">
        <v>4.6392297236898301</v>
      </c>
      <c r="E108" s="3">
        <v>2.7314710653454402</v>
      </c>
      <c r="F108" s="3">
        <v>4.2628357690393104</v>
      </c>
      <c r="G108" s="3">
        <v>5.05746172588763</v>
      </c>
      <c r="H108" s="3">
        <v>4.39199659111644</v>
      </c>
      <c r="I108" s="3">
        <v>3.6545967409879299</v>
      </c>
      <c r="J108" s="3">
        <v>3.6333462753359802</v>
      </c>
      <c r="K108" s="3">
        <v>2.37819169116948</v>
      </c>
      <c r="L108" s="3">
        <v>6.5150882240614498</v>
      </c>
      <c r="M108" s="3">
        <v>4.6771285607846798</v>
      </c>
      <c r="N108" s="3">
        <v>4.3071065891552696</v>
      </c>
      <c r="O108" s="3">
        <v>1.6221834462836999</v>
      </c>
      <c r="P108" s="3">
        <v>2.5739107676697</v>
      </c>
      <c r="Q108" s="3">
        <v>4.6310727045632403</v>
      </c>
      <c r="R108" s="3">
        <v>3.2054340357364302</v>
      </c>
      <c r="S108" s="3">
        <v>5.6531318710398102</v>
      </c>
      <c r="T108" s="3">
        <v>4.5387771703333897</v>
      </c>
      <c r="U108" s="3">
        <v>2.5404318586930201</v>
      </c>
      <c r="V108" s="3">
        <v>3.4603267907759299</v>
      </c>
    </row>
    <row r="109" spans="1:22" x14ac:dyDescent="0.35">
      <c r="A109" s="2">
        <v>45093</v>
      </c>
      <c r="B109" s="3">
        <v>2.5028846328872199</v>
      </c>
      <c r="C109" s="3">
        <v>6.99905364342405</v>
      </c>
      <c r="D109" s="3">
        <v>4.29872573146731</v>
      </c>
      <c r="E109" s="3">
        <v>2.9438812815833399</v>
      </c>
      <c r="F109" s="3">
        <v>3.8944390524719799</v>
      </c>
      <c r="G109" s="3">
        <v>4.8842363032048901</v>
      </c>
      <c r="H109" s="3">
        <v>4.4175903454215302</v>
      </c>
      <c r="I109" s="3">
        <v>3.4378824230410499</v>
      </c>
      <c r="J109" s="3">
        <v>3.6655397007325901</v>
      </c>
      <c r="K109" s="3">
        <v>2.2930180844938501</v>
      </c>
      <c r="L109" s="3">
        <v>6.0525182305929501</v>
      </c>
      <c r="M109" s="3">
        <v>4.4190087938265199</v>
      </c>
      <c r="N109" s="3">
        <v>3.91371446024699</v>
      </c>
      <c r="O109" s="3">
        <v>1.5282301195796399</v>
      </c>
      <c r="P109" s="3">
        <v>2.4131887622791801</v>
      </c>
      <c r="Q109" s="3">
        <v>4.6608541873249596</v>
      </c>
      <c r="R109" s="3">
        <v>3.0997626191891401</v>
      </c>
      <c r="S109" s="3">
        <v>4.7350374113604197</v>
      </c>
      <c r="T109" s="3">
        <v>4.5012765825350201</v>
      </c>
      <c r="U109" s="3">
        <v>2.6132855295918</v>
      </c>
      <c r="V109" s="3">
        <v>3.44130377082594</v>
      </c>
    </row>
    <row r="110" spans="1:22" x14ac:dyDescent="0.35">
      <c r="A110" s="2">
        <v>45126</v>
      </c>
      <c r="B110" s="3">
        <v>2.5969417893178202</v>
      </c>
      <c r="C110" s="3">
        <v>6.1741609765791301</v>
      </c>
      <c r="D110" s="3">
        <v>4.1709533272524304</v>
      </c>
      <c r="E110" s="3">
        <v>2.95935128466486</v>
      </c>
      <c r="F110" s="3">
        <v>3.8024856504470601</v>
      </c>
      <c r="G110" s="3">
        <v>4.5708062060037502</v>
      </c>
      <c r="H110" s="3">
        <v>4.3917388668279003</v>
      </c>
      <c r="I110" s="3">
        <v>3.42139216990285</v>
      </c>
      <c r="J110" s="3">
        <v>3.8155583965497599</v>
      </c>
      <c r="K110" s="3">
        <v>2.33024363759159</v>
      </c>
      <c r="L110" s="3">
        <v>6.0848753392187698</v>
      </c>
      <c r="M110" s="3">
        <v>4.2077110465113297</v>
      </c>
      <c r="N110" s="3">
        <v>3.9773418127031199</v>
      </c>
      <c r="O110" s="3">
        <v>1.4510081752653301</v>
      </c>
      <c r="P110" s="3">
        <v>2.48787358112628</v>
      </c>
      <c r="Q110" s="3">
        <v>4.66819178036293</v>
      </c>
      <c r="R110" s="3">
        <v>3.0998758961684998</v>
      </c>
      <c r="S110" s="3">
        <v>4.03128138348512</v>
      </c>
      <c r="T110" s="3">
        <v>4.2835863057961499</v>
      </c>
      <c r="U110" s="3">
        <v>2.6605324356600999</v>
      </c>
      <c r="V110" s="3">
        <v>3.37676479363313</v>
      </c>
    </row>
    <row r="111" spans="1:22" x14ac:dyDescent="0.35">
      <c r="A111" s="2">
        <v>45156</v>
      </c>
      <c r="B111" s="3">
        <v>2.6243237836751301</v>
      </c>
      <c r="C111" s="3">
        <v>6.1592131156024701</v>
      </c>
      <c r="D111" s="3">
        <v>4.1531275437105197</v>
      </c>
      <c r="E111" s="3">
        <v>3.04223512034299</v>
      </c>
      <c r="F111" s="3">
        <v>4.0224329279128099</v>
      </c>
      <c r="G111" s="3">
        <v>4.6647946885036404</v>
      </c>
      <c r="H111" s="3">
        <v>4.2781263379524503</v>
      </c>
      <c r="I111" s="3">
        <v>3.6306125054233802</v>
      </c>
      <c r="J111" s="3">
        <v>3.9742226567508898</v>
      </c>
      <c r="K111" s="3">
        <v>2.4793414945887</v>
      </c>
      <c r="L111" s="3">
        <v>6.0204827346890797</v>
      </c>
      <c r="M111" s="3">
        <v>4.5079231421350396</v>
      </c>
      <c r="N111" s="3">
        <v>4.4908671299406198</v>
      </c>
      <c r="O111" s="3">
        <v>1.5142139898414999</v>
      </c>
      <c r="P111" s="3">
        <v>2.5477236923498801</v>
      </c>
      <c r="Q111" s="3">
        <v>4.5256170233842301</v>
      </c>
      <c r="R111" s="3">
        <v>3.1382085127486299</v>
      </c>
      <c r="S111" s="3">
        <v>3.7740081089716302</v>
      </c>
      <c r="T111" s="3">
        <v>4.2219771247327902</v>
      </c>
      <c r="U111" s="3">
        <v>2.5625395079111</v>
      </c>
      <c r="V111" s="3">
        <v>3.5824813352595899</v>
      </c>
    </row>
    <row r="112" spans="1:22" x14ac:dyDescent="0.35">
      <c r="A112" s="2">
        <v>45188</v>
      </c>
      <c r="B112" s="3">
        <v>2.6211975234520102</v>
      </c>
      <c r="C112" s="3">
        <v>6.6216645648658901</v>
      </c>
      <c r="D112" s="3">
        <v>4.1362809428448504</v>
      </c>
      <c r="E112" s="3">
        <v>2.9010943119188299</v>
      </c>
      <c r="F112" s="3">
        <v>4.3778843032896297</v>
      </c>
      <c r="G112" s="3">
        <v>4.8629529246920402</v>
      </c>
      <c r="H112" s="3">
        <v>4.26898766317787</v>
      </c>
      <c r="I112" s="3">
        <v>3.5978494941698198</v>
      </c>
      <c r="J112" s="3">
        <v>4.1077152226735203</v>
      </c>
      <c r="K112" s="3">
        <v>2.3731387252429399</v>
      </c>
      <c r="L112" s="3">
        <v>5.8589464915866696</v>
      </c>
      <c r="M112" s="3">
        <v>4.4818588995599704</v>
      </c>
      <c r="N112" s="3">
        <v>4.6659473806465304</v>
      </c>
      <c r="O112" s="3">
        <v>1.4877639703043199</v>
      </c>
      <c r="P112" s="3">
        <v>2.52037346279959</v>
      </c>
      <c r="Q112" s="3">
        <v>4.7051755412453797</v>
      </c>
      <c r="R112" s="3">
        <v>3.15330729085019</v>
      </c>
      <c r="S112" s="3">
        <v>3.93507786048793</v>
      </c>
      <c r="T112" s="3">
        <v>4.3819406552907703</v>
      </c>
      <c r="U112" s="3">
        <v>2.6690122354229402</v>
      </c>
      <c r="V112" s="3">
        <v>3.71400861554122</v>
      </c>
    </row>
    <row r="113" spans="1:37" x14ac:dyDescent="0.35">
      <c r="A113" s="2">
        <v>45218</v>
      </c>
      <c r="B113" s="3">
        <v>2.7813269157624601</v>
      </c>
      <c r="C113" s="3">
        <v>6.7861294617415897</v>
      </c>
      <c r="D113" s="3">
        <v>4.3298309201862999</v>
      </c>
      <c r="E113" s="3">
        <v>2.8986249249216001</v>
      </c>
      <c r="F113" s="3">
        <v>4.2018432485109498</v>
      </c>
      <c r="G113" s="3">
        <v>5.1602415791303198</v>
      </c>
      <c r="H113" s="3">
        <v>4.3090035967056899</v>
      </c>
      <c r="I113" s="3">
        <v>3.6063263596654598</v>
      </c>
      <c r="J113" s="3">
        <v>4.4213685232437197</v>
      </c>
      <c r="K113" s="3">
        <v>2.5304805646360502</v>
      </c>
      <c r="L113" s="3">
        <v>6.2844063289783101</v>
      </c>
      <c r="M113" s="3">
        <v>4.5547402798384997</v>
      </c>
      <c r="N113" s="3">
        <v>5.0806813865324401</v>
      </c>
      <c r="O113" s="3">
        <v>1.4989892797705699</v>
      </c>
      <c r="P113" s="3">
        <v>2.66341023259023</v>
      </c>
      <c r="Q113" s="3">
        <v>4.9192541052221701</v>
      </c>
      <c r="R113" s="3">
        <v>3.3826888545345</v>
      </c>
      <c r="S113" s="3">
        <v>4.2260413127766503</v>
      </c>
      <c r="T113" s="3">
        <v>4.7006156374432404</v>
      </c>
      <c r="U113" s="3">
        <v>3.19166473263647</v>
      </c>
      <c r="V113" s="3">
        <v>3.9134589636908999</v>
      </c>
    </row>
    <row r="114" spans="1:37" x14ac:dyDescent="0.35">
      <c r="A114" s="2">
        <v>45247</v>
      </c>
      <c r="B114" s="3">
        <v>2.6960266207574399</v>
      </c>
      <c r="C114" s="3">
        <v>6.7003810025339501</v>
      </c>
      <c r="D114" s="3">
        <v>4.1850434250814397</v>
      </c>
      <c r="E114" s="3">
        <v>3.0710193781174699</v>
      </c>
      <c r="F114" s="3">
        <v>4.3396219763414203</v>
      </c>
      <c r="G114" s="3">
        <v>4.3359254461754597</v>
      </c>
      <c r="H114" s="3">
        <v>4.2679420499255096</v>
      </c>
      <c r="I114" s="3">
        <v>3.4623084395774599</v>
      </c>
      <c r="J114" s="3">
        <v>4.0658304380234496</v>
      </c>
      <c r="K114" s="3">
        <v>2.4267542153202299</v>
      </c>
      <c r="L114" s="3">
        <v>6.1177324017168804</v>
      </c>
      <c r="M114" s="3">
        <v>4.3517128478676099</v>
      </c>
      <c r="N114" s="3">
        <v>4.5201657421980004</v>
      </c>
      <c r="O114" s="3">
        <v>1.5008076844303799</v>
      </c>
      <c r="P114" s="3">
        <v>2.6096553452571301</v>
      </c>
      <c r="Q114" s="3">
        <v>4.8245830056420198</v>
      </c>
      <c r="R114" s="3">
        <v>3.3494944404733298</v>
      </c>
      <c r="S114" s="3">
        <v>4.4535837787745702</v>
      </c>
      <c r="T114" s="3">
        <v>4.6622758799582504</v>
      </c>
      <c r="U114" s="3">
        <v>2.9215907525786902</v>
      </c>
      <c r="V114" s="3">
        <v>3.7624675905225202</v>
      </c>
    </row>
    <row r="115" spans="1:37" x14ac:dyDescent="0.35">
      <c r="A115" s="2">
        <v>45279</v>
      </c>
      <c r="B115" s="3">
        <v>2.8358160132375798</v>
      </c>
      <c r="C115" s="3">
        <v>6.69290323848562</v>
      </c>
      <c r="D115" s="3">
        <v>4.1392193564085504</v>
      </c>
      <c r="E115" s="3">
        <v>3.18415641303445</v>
      </c>
      <c r="F115" s="3">
        <v>4.6633524798287098</v>
      </c>
      <c r="G115" s="3">
        <v>3.7360971510660401</v>
      </c>
      <c r="H115" s="3">
        <v>4.2703430497435502</v>
      </c>
      <c r="I115" s="3">
        <v>3.3799616714132301</v>
      </c>
      <c r="J115" s="3">
        <v>3.7255683877274302</v>
      </c>
      <c r="K115" s="3">
        <v>2.31833294755454</v>
      </c>
      <c r="L115" s="3">
        <v>5.7864248291895901</v>
      </c>
      <c r="M115" s="3">
        <v>4.1783981879703598</v>
      </c>
      <c r="N115" s="3">
        <v>4.5032938723855596</v>
      </c>
      <c r="O115" s="3">
        <v>1.3851947571029899</v>
      </c>
      <c r="P115" s="3">
        <v>2.7319073550030302</v>
      </c>
      <c r="Q115" s="3">
        <v>4.9252473496805198</v>
      </c>
      <c r="R115" s="3">
        <v>3.4086456453713398</v>
      </c>
      <c r="S115" s="3">
        <v>4.7342493657451303</v>
      </c>
      <c r="T115" s="3">
        <v>4.6823318371069202</v>
      </c>
      <c r="U115" s="3">
        <v>2.9777495066945598</v>
      </c>
      <c r="V115" s="3">
        <v>3.5607525588661901</v>
      </c>
    </row>
    <row r="116" spans="1:37" x14ac:dyDescent="0.35">
      <c r="A116" s="2">
        <v>45310</v>
      </c>
      <c r="B116" s="3">
        <v>2.9189259190204302</v>
      </c>
      <c r="C116" s="3">
        <v>7.1675039599254697</v>
      </c>
      <c r="D116" s="3">
        <v>4.0854145969253901</v>
      </c>
      <c r="E116" s="3">
        <v>3.16716233269277</v>
      </c>
      <c r="F116" s="3">
        <v>5.1672660595211699</v>
      </c>
      <c r="G116" s="3">
        <v>3.5547247617720199</v>
      </c>
      <c r="H116" s="3">
        <v>4.28556495841248</v>
      </c>
      <c r="I116" s="3">
        <v>3.3967409122485899</v>
      </c>
      <c r="J116" s="3">
        <v>3.9098464238104902</v>
      </c>
      <c r="K116" s="3">
        <v>2.41309545984039</v>
      </c>
      <c r="L116" s="3">
        <v>5.8223180600870696</v>
      </c>
      <c r="M116" s="3">
        <v>4.4123978209916404</v>
      </c>
      <c r="N116" s="3">
        <v>4.6094835793163602</v>
      </c>
      <c r="O116" s="3">
        <v>1.3707081423638301</v>
      </c>
      <c r="P116" s="3">
        <v>2.9336700145720398</v>
      </c>
      <c r="Q116" s="3">
        <v>4.7920329014255501</v>
      </c>
      <c r="R116" s="3">
        <v>3.4948082410113699</v>
      </c>
      <c r="S116" s="3">
        <v>4.4246412244846098</v>
      </c>
      <c r="T116" s="3">
        <v>4.4873047122860701</v>
      </c>
      <c r="U116" s="3">
        <v>2.7483540513769</v>
      </c>
      <c r="V116" s="3">
        <v>3.48872547853601</v>
      </c>
    </row>
    <row r="117" spans="1:37" x14ac:dyDescent="0.35">
      <c r="A117" s="2">
        <v>45338</v>
      </c>
      <c r="B117" s="3">
        <v>2.8389887293937401</v>
      </c>
      <c r="C117" s="3">
        <v>6.6343168918375302</v>
      </c>
      <c r="D117" s="3">
        <v>4.0448542787703197</v>
      </c>
      <c r="E117" s="3">
        <v>2.8222256757860098</v>
      </c>
      <c r="F117" s="3">
        <v>4.7704452506998001</v>
      </c>
      <c r="G117" s="3">
        <v>3.7222354220205101</v>
      </c>
      <c r="H117" s="3">
        <v>4.1704853708283904</v>
      </c>
      <c r="I117" s="3">
        <v>3.3047579518004699</v>
      </c>
      <c r="J117" s="3">
        <v>3.7817137981575</v>
      </c>
      <c r="K117" s="3">
        <v>2.2366581376849402</v>
      </c>
      <c r="L117" s="3">
        <v>5.8563879976603701</v>
      </c>
      <c r="M117" s="3">
        <v>4.3544705556119103</v>
      </c>
      <c r="N117" s="3">
        <v>4.5250955788734704</v>
      </c>
      <c r="O117" s="3">
        <v>1.3484042034047701</v>
      </c>
      <c r="P117" s="3">
        <v>2.9113436737037199</v>
      </c>
      <c r="Q117" s="3">
        <v>4.8186166866929598</v>
      </c>
      <c r="R117" s="3">
        <v>3.4510752968450902</v>
      </c>
      <c r="S117" s="3">
        <v>4.0626252276511403</v>
      </c>
      <c r="T117" s="3">
        <v>4.8665441583076001</v>
      </c>
      <c r="U117" s="3">
        <v>2.8095663910502302</v>
      </c>
      <c r="V117" s="3">
        <v>3.3164906384127599</v>
      </c>
    </row>
    <row r="118" spans="1:37" x14ac:dyDescent="0.35">
      <c r="A118" s="2">
        <v>45370</v>
      </c>
      <c r="B118" s="3">
        <v>2.7324690009595298</v>
      </c>
      <c r="C118" s="3">
        <v>7.1344903268139497</v>
      </c>
      <c r="D118" s="3">
        <v>4.0702148729663303</v>
      </c>
      <c r="E118" s="3">
        <v>2.7382670683555199</v>
      </c>
      <c r="F118" s="3">
        <v>4.9774080161885799</v>
      </c>
      <c r="G118" s="3">
        <v>3.50562987821217</v>
      </c>
      <c r="H118" s="3">
        <v>4.1476415614320699</v>
      </c>
      <c r="I118" s="3">
        <v>3.1324856720593299</v>
      </c>
      <c r="J118" s="3">
        <v>4.1107068530183897</v>
      </c>
      <c r="K118" s="3">
        <v>2.23405965402192</v>
      </c>
      <c r="L118" s="3">
        <v>6.2845439265538099</v>
      </c>
      <c r="M118" s="3">
        <v>4.3375394844757302</v>
      </c>
      <c r="N118" s="3">
        <v>4.9359586062491401</v>
      </c>
      <c r="O118" s="3">
        <v>1.3863957394458699</v>
      </c>
      <c r="P118" s="3">
        <v>2.91005637961671</v>
      </c>
      <c r="Q118" s="3">
        <v>4.81895388970048</v>
      </c>
      <c r="R118" s="3">
        <v>3.49196308516566</v>
      </c>
      <c r="S118" s="3">
        <v>4.2585735534984703</v>
      </c>
      <c r="T118" s="3">
        <v>5.0952361620083302</v>
      </c>
      <c r="U118" s="3">
        <v>2.2988977455095601</v>
      </c>
      <c r="V118" s="3">
        <v>3.3198870621288501</v>
      </c>
    </row>
    <row r="119" spans="1:37" x14ac:dyDescent="0.35">
      <c r="A119" s="2">
        <v>45401</v>
      </c>
      <c r="B119" s="3">
        <v>2.8146299311389602</v>
      </c>
      <c r="C119" s="3">
        <v>6.9304582380097903</v>
      </c>
      <c r="D119" s="3">
        <v>4.4389433463966999</v>
      </c>
      <c r="E119" s="3">
        <v>2.9682268607912698</v>
      </c>
      <c r="F119" s="3">
        <v>5.0467521046777</v>
      </c>
      <c r="G119" s="3">
        <v>3.4164420994629601</v>
      </c>
      <c r="H119" s="3">
        <v>4.1667286576796299</v>
      </c>
      <c r="I119" s="3">
        <v>3.30583272785853</v>
      </c>
      <c r="J119" s="3">
        <v>4.1868554790728503</v>
      </c>
      <c r="K119" s="3">
        <v>2.2820950939571101</v>
      </c>
      <c r="L119" s="3">
        <v>6.3844814849885996</v>
      </c>
      <c r="M119" s="3">
        <v>4.2958658104546004</v>
      </c>
      <c r="N119" s="3">
        <v>5.3435597347603299</v>
      </c>
      <c r="O119" s="3">
        <v>1.3644723847167599</v>
      </c>
      <c r="P119" s="3">
        <v>3.0899183957702099</v>
      </c>
      <c r="Q119" s="3">
        <v>5.7147822675984097</v>
      </c>
      <c r="R119" s="3">
        <v>3.6587872794238101</v>
      </c>
      <c r="S119" s="3">
        <v>4.3074923223365804</v>
      </c>
      <c r="T119" s="3">
        <v>5.5990235098583403</v>
      </c>
      <c r="U119" s="3">
        <v>2.4660416745492202</v>
      </c>
      <c r="V119" s="3">
        <v>3.4466978510306499</v>
      </c>
    </row>
    <row r="120" spans="1:37" x14ac:dyDescent="0.35">
      <c r="A120" s="2">
        <v>45429</v>
      </c>
      <c r="B120" s="3">
        <v>2.7829234648000201</v>
      </c>
      <c r="C120" s="3">
        <v>5.1073282751799196</v>
      </c>
      <c r="D120" s="3">
        <v>4.4120620154303101</v>
      </c>
      <c r="E120" s="3">
        <v>3.1622202962462498</v>
      </c>
      <c r="F120" s="3">
        <v>4.99279619031386</v>
      </c>
      <c r="G120" s="3">
        <v>3.4019849777908502</v>
      </c>
      <c r="H120" s="3">
        <v>4.0332803457753901</v>
      </c>
      <c r="I120" s="3">
        <v>3.0642079892522398</v>
      </c>
      <c r="J120" s="3">
        <v>4.1822747051772398</v>
      </c>
      <c r="K120" s="3">
        <v>2.1727172972264501</v>
      </c>
      <c r="L120" s="3">
        <v>6.6916461442239203</v>
      </c>
      <c r="M120" s="3">
        <v>3.9227620893725801</v>
      </c>
      <c r="N120" s="3">
        <v>5.2575850921214702</v>
      </c>
      <c r="O120" s="3">
        <v>1.3473361120567899</v>
      </c>
      <c r="P120" s="3">
        <v>2.6279680898063398</v>
      </c>
      <c r="Q120" s="3">
        <v>5.7812085482642104</v>
      </c>
      <c r="R120" s="3">
        <v>3.6205445679388402</v>
      </c>
      <c r="S120" s="3">
        <v>4.2368849149649801</v>
      </c>
      <c r="T120" s="3">
        <v>5.7860004923250301</v>
      </c>
      <c r="U120" s="3">
        <v>1.98001761123256</v>
      </c>
      <c r="V120" s="3">
        <v>3.58060429802461</v>
      </c>
    </row>
    <row r="121" spans="1:37" x14ac:dyDescent="0.35">
      <c r="A121" s="2">
        <v>45461</v>
      </c>
      <c r="B121" s="3">
        <v>2.9648408878180201</v>
      </c>
      <c r="C121" s="3">
        <v>5.3176666499997198</v>
      </c>
      <c r="D121" s="3">
        <v>4.7744115642912304</v>
      </c>
      <c r="E121" s="3">
        <v>3.3661687952483401</v>
      </c>
      <c r="F121" s="3">
        <v>5.2284238820198699</v>
      </c>
      <c r="G121" s="3">
        <v>4.0651516206373897</v>
      </c>
      <c r="H121" s="3">
        <v>4.0808137156494402</v>
      </c>
      <c r="I121" s="3">
        <v>2.9725012521519001</v>
      </c>
      <c r="J121" s="3">
        <v>4.5653934314711098</v>
      </c>
      <c r="K121" s="3">
        <v>2.1058360724176799</v>
      </c>
      <c r="L121" s="3">
        <v>7.3824142834878899</v>
      </c>
      <c r="M121" s="3">
        <v>3.9545484447205799</v>
      </c>
      <c r="N121" s="3">
        <v>6.1354307004819502</v>
      </c>
      <c r="O121" s="3">
        <v>1.28035851975917</v>
      </c>
      <c r="P121" s="3">
        <v>2.8804245691332002</v>
      </c>
      <c r="Q121" s="3">
        <v>5.7467716591823299</v>
      </c>
      <c r="R121" s="3">
        <v>3.8551774152661902</v>
      </c>
      <c r="S121" s="3">
        <v>3.9732166356310601</v>
      </c>
      <c r="T121" s="3">
        <v>5.93424989921676</v>
      </c>
      <c r="U121" s="3">
        <v>1.9674860140705701</v>
      </c>
      <c r="V121" s="3">
        <v>3.69863274681612</v>
      </c>
    </row>
    <row r="122" spans="1:37" x14ac:dyDescent="0.35">
      <c r="A122" s="2">
        <v>45491</v>
      </c>
      <c r="B122" s="3">
        <v>3.07783646182811</v>
      </c>
      <c r="C122" s="3">
        <v>5.3267503281494504</v>
      </c>
      <c r="D122" s="3">
        <v>4.4258959837658702</v>
      </c>
      <c r="E122" s="3">
        <v>3.25622146311468</v>
      </c>
      <c r="F122" s="3">
        <v>5.1528611221742002</v>
      </c>
      <c r="G122" s="3">
        <v>4.0215849116915097</v>
      </c>
      <c r="H122" s="3">
        <v>4.0330541717763699</v>
      </c>
      <c r="I122" s="3">
        <v>2.9420742563885098</v>
      </c>
      <c r="J122" s="3">
        <v>4.4439025723653804</v>
      </c>
      <c r="K122" s="3">
        <v>2.0645807165398899</v>
      </c>
      <c r="L122" s="3">
        <v>6.5670529642764199</v>
      </c>
      <c r="M122" s="3">
        <v>3.95024053990584</v>
      </c>
      <c r="N122" s="3">
        <v>5.8531520274159501</v>
      </c>
      <c r="O122" s="3">
        <v>1.23885704917858</v>
      </c>
      <c r="P122" s="3">
        <v>2.9430139385909801</v>
      </c>
      <c r="Q122" s="3">
        <v>5.4620025867200699</v>
      </c>
      <c r="R122" s="3">
        <v>3.79416737861151</v>
      </c>
      <c r="S122" s="3">
        <v>3.89069403087472</v>
      </c>
      <c r="T122" s="3">
        <v>5.6028293904587096</v>
      </c>
      <c r="U122" s="3">
        <v>1.96638461469689</v>
      </c>
      <c r="V122" s="3">
        <v>3.5408068396518799</v>
      </c>
    </row>
    <row r="125" spans="1:37" x14ac:dyDescent="0.35">
      <c r="A125" s="2" t="s">
        <v>91</v>
      </c>
      <c r="B125" s="3" cm="1">
        <f t="array" ref="B125">MIN(_xlfn._xlws.FILTER(B1:B122, ISNUMBER(B1:B122)))</f>
        <v>1.6073329233783</v>
      </c>
      <c r="C125" s="3" cm="1">
        <f t="array" ref="C125">MIN(_xlfn._xlws.FILTER(C1:C122, ISNUMBER(C1:C122)))</f>
        <v>2.4229361403938201</v>
      </c>
      <c r="D125" s="3" cm="1">
        <f t="array" ref="D125">MIN(_xlfn._xlws.FILTER(D1:D122, ISNUMBER(D1:D122)))</f>
        <v>2.15808461074861</v>
      </c>
      <c r="E125" s="3" cm="1">
        <f t="array" ref="E125">MIN(_xlfn._xlws.FILTER(E1:E122, ISNUMBER(E1:E122)))</f>
        <v>1.4323332680188401</v>
      </c>
      <c r="F125" s="3" cm="1">
        <f t="array" ref="F125">MIN(_xlfn._xlws.FILTER(F1:F122, ISNUMBER(F1:F122)))</f>
        <v>2.3319323974235999</v>
      </c>
      <c r="G125" s="3" cm="1">
        <f t="array" ref="G125">MIN(_xlfn._xlws.FILTER(G1:G122, ISNUMBER(G1:G122)))</f>
        <v>1.40860649508291</v>
      </c>
      <c r="H125" s="3" cm="1">
        <f t="array" ref="H125">MIN(_xlfn._xlws.FILTER(H1:H122, ISNUMBER(H1:H122)))</f>
        <v>2.9396107180634998</v>
      </c>
      <c r="I125" s="3" cm="1">
        <f t="array" ref="I125">MIN(_xlfn._xlws.FILTER(I1:I122, ISNUMBER(I1:I122)))</f>
        <v>2.9420742563885098</v>
      </c>
      <c r="J125" s="3" cm="1">
        <f t="array" ref="J125">MIN(_xlfn._xlws.FILTER(J1:J122, ISNUMBER(J1:J122)))</f>
        <v>2.02485995766357</v>
      </c>
      <c r="K125" s="3" cm="1">
        <f t="array" ref="K125">MIN(_xlfn._xlws.FILTER(K1:K122, ISNUMBER(K1:K122)))</f>
        <v>1.27694809623992</v>
      </c>
      <c r="L125" s="3" cm="1">
        <f t="array" ref="L125">MIN(_xlfn._xlws.FILTER(L1:L122, ISNUMBER(L1:L122)))</f>
        <v>2.6790354695196301</v>
      </c>
      <c r="M125" s="3" cm="1">
        <f t="array" ref="M125">MIN(_xlfn._xlws.FILTER(M1:M122, ISNUMBER(M1:M122)))</f>
        <v>2.9601160153831101</v>
      </c>
      <c r="N125" s="3" cm="1">
        <f t="array" ref="N125">MIN(_xlfn._xlws.FILTER(N1:N122, ISNUMBER(N1:N122)))</f>
        <v>2.08721824855684</v>
      </c>
      <c r="O125" s="3" cm="1">
        <f t="array" ref="O125">MIN(_xlfn._xlws.FILTER(O1:O122, ISNUMBER(O1:O122)))</f>
        <v>1.23885704917858</v>
      </c>
      <c r="P125" s="3" cm="1">
        <f t="array" ref="P125">MIN(_xlfn._xlws.FILTER(P1:P122, ISNUMBER(P1:P122)))</f>
        <v>1.32334034933138</v>
      </c>
      <c r="Q125" s="3" cm="1">
        <f t="array" ref="Q125">MIN(_xlfn._xlws.FILTER(Q1:Q122, ISNUMBER(Q1:Q122)))</f>
        <v>3.4904415760643501</v>
      </c>
      <c r="R125" s="3" cm="1">
        <f t="array" ref="R125">MIN(_xlfn._xlws.FILTER(R1:R122, ISNUMBER(R1:R122)))</f>
        <v>2.70465777336354</v>
      </c>
      <c r="S125" s="3" cm="1">
        <f t="array" ref="S125">MIN(_xlfn._xlws.FILTER(S1:S122, ISNUMBER(S1:S122)))</f>
        <v>2.6956427860356</v>
      </c>
      <c r="T125" s="3" cm="1">
        <f t="array" ref="T125">MIN(_xlfn._xlws.FILTER(T1:T122, ISNUMBER(T1:T122)))</f>
        <v>2.4585881703297598</v>
      </c>
      <c r="U125" s="3" cm="1">
        <f t="array" ref="U125">MIN(_xlfn._xlws.FILTER(U1:U122, ISNUMBER(U1:U122)))</f>
        <v>1.11011787752004</v>
      </c>
      <c r="V125" s="3" cm="1">
        <f t="array" ref="V125">MIN(_xlfn._xlws.FILTER(V1:V122, ISNUMBER(V1:V122)))</f>
        <v>2.7470491675934201</v>
      </c>
    </row>
    <row r="126" spans="1:37" x14ac:dyDescent="0.35">
      <c r="A126" s="2" t="s">
        <v>92</v>
      </c>
      <c r="B126" s="3" cm="1">
        <f t="array" ref="B126">MAX(_xlfn._xlws.FILTER(B1:B122, ISNUMBER(B1:B122)))</f>
        <v>3.3801534535126501</v>
      </c>
      <c r="C126" s="3" cm="1">
        <f t="array" ref="C126">MAX(_xlfn._xlws.FILTER(C1:C122, ISNUMBER(C1:C122)))</f>
        <v>9.0707487163186098</v>
      </c>
      <c r="D126" s="3" cm="1">
        <f t="array" ref="D126">MAX(_xlfn._xlws.FILTER(D1:D122, ISNUMBER(D1:D122)))</f>
        <v>4.7744115642912304</v>
      </c>
      <c r="E126" s="3" cm="1">
        <f t="array" ref="E126">MAX(_xlfn._xlws.FILTER(E1:E122, ISNUMBER(E1:E122)))</f>
        <v>3.3661687952483401</v>
      </c>
      <c r="F126" s="3" cm="1">
        <f t="array" ref="F126">MAX(_xlfn._xlws.FILTER(F1:F122, ISNUMBER(F1:F122)))</f>
        <v>5.2284238820198699</v>
      </c>
      <c r="G126" s="3" cm="1">
        <f t="array" ref="G126">MAX(_xlfn._xlws.FILTER(G1:G122, ISNUMBER(G1:G122)))</f>
        <v>5.2664542277770501</v>
      </c>
      <c r="H126" s="3" cm="1">
        <f t="array" ref="H126">MAX(_xlfn._xlws.FILTER(H1:H122, ISNUMBER(H1:H122)))</f>
        <v>4.5229287525445798</v>
      </c>
      <c r="I126" s="3" cm="1">
        <f t="array" ref="I126">MAX(_xlfn._xlws.FILTER(I1:I122, ISNUMBER(I1:I122)))</f>
        <v>5.4229677814289703</v>
      </c>
      <c r="J126" s="3" cm="1">
        <f t="array" ref="J126">MAX(_xlfn._xlws.FILTER(J1:J122, ISNUMBER(J1:J122)))</f>
        <v>4.5653934314711098</v>
      </c>
      <c r="K126" s="3" cm="1">
        <f t="array" ref="K126">MAX(_xlfn._xlws.FILTER(K1:K122, ISNUMBER(K1:K122)))</f>
        <v>3.4123136273439698</v>
      </c>
      <c r="L126" s="3" cm="1">
        <f t="array" ref="L126">MAX(_xlfn._xlws.FILTER(L1:L122, ISNUMBER(L1:L122)))</f>
        <v>11.4127013267049</v>
      </c>
      <c r="M126" s="3" cm="1">
        <f t="array" ref="M126">MAX(_xlfn._xlws.FILTER(M1:M122, ISNUMBER(M1:M122)))</f>
        <v>5.9789695818322004</v>
      </c>
      <c r="N126" s="3" cm="1">
        <f t="array" ref="N126">MAX(_xlfn._xlws.FILTER(N1:N122, ISNUMBER(N1:N122)))</f>
        <v>6.1354307004819502</v>
      </c>
      <c r="O126" s="3" cm="1">
        <f t="array" ref="O126">MAX(_xlfn._xlws.FILTER(O1:O122, ISNUMBER(O1:O122)))</f>
        <v>2.4341653099593201</v>
      </c>
      <c r="P126" s="3" cm="1">
        <f t="array" ref="P126">MAX(_xlfn._xlws.FILTER(P1:P122, ISNUMBER(P1:P122)))</f>
        <v>3.8114294405407101</v>
      </c>
      <c r="Q126" s="3" cm="1">
        <f t="array" ref="Q126">MAX(_xlfn._xlws.FILTER(Q1:Q122, ISNUMBER(Q1:Q122)))</f>
        <v>6.1907407975009701</v>
      </c>
      <c r="R126" s="3" cm="1">
        <f t="array" ref="R126">MAX(_xlfn._xlws.FILTER(R1:R122, ISNUMBER(R1:R122)))</f>
        <v>5.5387451472003004</v>
      </c>
      <c r="S126" s="3" cm="1">
        <f t="array" ref="S126">MAX(_xlfn._xlws.FILTER(S1:S122, ISNUMBER(S1:S122)))</f>
        <v>6.1232957165834598</v>
      </c>
      <c r="T126" s="3" cm="1">
        <f t="array" ref="T126">MAX(_xlfn._xlws.FILTER(T1:T122, ISNUMBER(T1:T122)))</f>
        <v>7.3371221586485298</v>
      </c>
      <c r="U126" s="3" cm="1">
        <f t="array" ref="U126">MAX(_xlfn._xlws.FILTER(U1:U122, ISNUMBER(U1:U122)))</f>
        <v>4.1481561947958099</v>
      </c>
      <c r="V126" s="3" cm="1">
        <f t="array" ref="V126">MAX(_xlfn._xlws.FILTER(V1:V122, ISNUMBER(V1:V122)))</f>
        <v>5.4628185606649202</v>
      </c>
    </row>
    <row r="128" spans="1:37" x14ac:dyDescent="0.35">
      <c r="A128" s="2" t="s">
        <v>93</v>
      </c>
      <c r="B128" s="9" cm="1">
        <f t="array" ref="B128">_xlfn.PERCENTRANK.EXC(_xlfn._xlws.FILTER(B1:B122, ISNUMBER(B1:B122)),B122)</f>
        <v>0.92800000000000005</v>
      </c>
      <c r="C128" s="9" cm="1">
        <f t="array" ref="C128">_xlfn.PERCENTRANK.EXC(_xlfn._xlws.FILTER(C1:C122, ISNUMBER(C1:C122)),C122)</f>
        <v>0.78600000000000003</v>
      </c>
      <c r="D128" s="9" cm="1">
        <f t="array" ref="D128">_xlfn.PERCENTRANK.EXC(_xlfn._xlws.FILTER(D1:D122, ISNUMBER(D1:D122)),D122)</f>
        <v>0.95899999999999996</v>
      </c>
      <c r="E128" s="9" cm="1">
        <f t="array" ref="E128">_xlfn.PERCENTRANK.EXC(_xlfn._xlws.FILTER(E1:E122, ISNUMBER(E1:E122)),E122)</f>
        <v>0.98299999999999998</v>
      </c>
      <c r="F128" s="9" cm="1">
        <f t="array" ref="F128">_xlfn.PERCENTRANK.EXC(_xlfn._xlws.FILTER(F1:F122, ISNUMBER(F1:F122)),F122)</f>
        <v>0.97499999999999998</v>
      </c>
      <c r="G128" s="9" cm="1">
        <f t="array" ref="G128">_xlfn.PERCENTRANK.EXC(_xlfn._xlws.FILTER(G1:G122, ISNUMBER(G1:G122)),G122)</f>
        <v>0.81899999999999995</v>
      </c>
      <c r="H128" s="9" cm="1">
        <f t="array" ref="H128">_xlfn.PERCENTRANK.EXC(_xlfn._xlws.FILTER(H1:H122, ISNUMBER(H1:H122)),H122)</f>
        <v>0.745</v>
      </c>
      <c r="I128" s="9" cm="1">
        <f t="array" ref="I128">_xlfn.PERCENTRANK.EXC(_xlfn._xlws.FILTER(I1:I122, ISNUMBER(I1:I122)),I122)</f>
        <v>8.0000000000000002E-3</v>
      </c>
      <c r="J128" s="9" cm="1">
        <f t="array" ref="J128">_xlfn.PERCENTRANK.EXC(_xlfn._xlws.FILTER(J1:J122, ISNUMBER(J1:J122)),J122)</f>
        <v>0.97099999999999997</v>
      </c>
      <c r="K128" s="9" cm="1">
        <f t="array" ref="K128">_xlfn.PERCENTRANK.EXC(_xlfn._xlws.FILTER(K1:K122, ISNUMBER(K1:K122)),K122)</f>
        <v>0.48299999999999998</v>
      </c>
      <c r="L128" s="9" cm="1">
        <f t="array" ref="L128">_xlfn.PERCENTRANK.EXC(_xlfn._xlws.FILTER(L1:L122, ISNUMBER(L1:L122)),L122)</f>
        <v>0.82699999999999996</v>
      </c>
      <c r="M128" s="9" cm="1">
        <f t="array" ref="M128">_xlfn.PERCENTRANK.EXC(_xlfn._xlws.FILTER(M1:M122, ISNUMBER(M1:M122)),M122)</f>
        <v>0.61399999999999999</v>
      </c>
      <c r="N128" s="9" cm="1">
        <f t="array" ref="N128">_xlfn.PERCENTRANK.EXC(_xlfn._xlws.FILTER(N1:N122, ISNUMBER(N1:N122)),N122)</f>
        <v>0.98299999999999998</v>
      </c>
      <c r="O128" s="9" cm="1">
        <f t="array" ref="O128">_xlfn.PERCENTRANK.EXC(_xlfn._xlws.FILTER(O1:O122, ISNUMBER(O1:O122)),O122)</f>
        <v>8.0000000000000002E-3</v>
      </c>
      <c r="P128" s="9" cm="1">
        <f t="array" ref="P128">_xlfn.PERCENTRANK.EXC(_xlfn._xlws.FILTER(P1:P122, ISNUMBER(P1:P122)),P122)</f>
        <v>0.81899999999999995</v>
      </c>
      <c r="Q128" s="9" cm="1">
        <f t="array" ref="Q128">_xlfn.PERCENTRANK.EXC(_xlfn._xlws.FILTER(Q1:Q122, ISNUMBER(Q1:Q122)),Q122)</f>
        <v>0.95</v>
      </c>
      <c r="R128" s="9" cm="1">
        <f t="array" ref="R128">_xlfn.PERCENTRANK.EXC(_xlfn._xlws.FILTER(R1:R122, ISNUMBER(R1:R122)),R122)</f>
        <v>0.95</v>
      </c>
      <c r="S128" s="9" cm="1">
        <f t="array" ref="S128">_xlfn.PERCENTRANK.EXC(_xlfn._xlws.FILTER(S1:S122, ISNUMBER(S1:S122)),S122)</f>
        <v>0.36</v>
      </c>
      <c r="T128" s="9" cm="1">
        <f t="array" ref="T128">_xlfn.PERCENTRANK.EXC(_xlfn._xlws.FILTER(T1:T122, ISNUMBER(T1:T122)),T122)</f>
        <v>0.96699999999999997</v>
      </c>
      <c r="U128" s="9" cm="1">
        <f t="array" ref="U128">_xlfn.PERCENTRANK.EXC(_xlfn._xlws.FILTER(U1:U122, ISNUMBER(U1:U122)),U122)</f>
        <v>0.52500000000000002</v>
      </c>
      <c r="V128" s="9" cm="1">
        <f t="array" ref="V128">_xlfn.PERCENTRANK.EXC(_xlfn._xlws.FILTER(V1:V122, ISNUMBER(V1:V122)),V122)</f>
        <v>0.33600000000000002</v>
      </c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L139"/>
  <sheetViews>
    <sheetView workbookViewId="0">
      <selection activeCell="A134" sqref="A134"/>
    </sheetView>
  </sheetViews>
  <sheetFormatPr defaultRowHeight="14.5" x14ac:dyDescent="0.35"/>
  <cols>
    <col min="1" max="1" width="24.54296875" bestFit="1" customWidth="1"/>
  </cols>
  <sheetData>
    <row r="1" spans="1:38" x14ac:dyDescent="0.35">
      <c r="B1" s="3" t="s">
        <v>432</v>
      </c>
      <c r="C1" s="3" t="s">
        <v>27</v>
      </c>
      <c r="D1" s="3" t="s">
        <v>35</v>
      </c>
      <c r="E1" s="3" t="s">
        <v>30</v>
      </c>
      <c r="F1" s="3" t="s">
        <v>23</v>
      </c>
      <c r="G1" s="3" t="s">
        <v>29</v>
      </c>
      <c r="H1" s="3" t="s">
        <v>33</v>
      </c>
      <c r="I1" s="3" t="s">
        <v>24</v>
      </c>
      <c r="J1" s="3" t="s">
        <v>7</v>
      </c>
      <c r="K1" s="3" t="s">
        <v>21</v>
      </c>
      <c r="L1" s="3" t="s">
        <v>12</v>
      </c>
      <c r="M1" s="3" t="s">
        <v>22</v>
      </c>
      <c r="N1" s="3" t="s">
        <v>28</v>
      </c>
      <c r="O1" s="3" t="s">
        <v>32</v>
      </c>
      <c r="P1" s="3" t="s">
        <v>26</v>
      </c>
      <c r="Q1" s="3" t="s">
        <v>31</v>
      </c>
      <c r="R1" s="3" t="s">
        <v>757</v>
      </c>
      <c r="S1" s="3" t="s">
        <v>25</v>
      </c>
      <c r="T1" s="3" t="s">
        <v>34</v>
      </c>
      <c r="U1" s="3" t="s">
        <v>37</v>
      </c>
      <c r="V1" s="3" t="s">
        <v>36</v>
      </c>
    </row>
    <row r="2" spans="1:38" x14ac:dyDescent="0.35">
      <c r="A2" s="2" cm="1">
        <f t="array" ref="A2:A122">_xll.FDS(C1,"JULIAN(FG_TOTAL_RETURNC(-10AY,0,AM).dates)")</f>
        <v>41838</v>
      </c>
      <c r="B2" s="24" t="e" cm="1">
        <f t="array" ref="B2:B122">_xll.FDS(B1,"FG_TOTAL_RETURNC(-10AY,0,AM)")/100</f>
        <v>#N/A</v>
      </c>
      <c r="C2" s="24" cm="1">
        <f t="array" ref="C2:C122">_xll.FDS(C1,"FG_TOTAL_RETURNC(-10AY,0,AM)")/100</f>
        <v>-7.4132085000000007E-3</v>
      </c>
      <c r="D2" s="24" cm="1">
        <f t="array" ref="D2:D122">_xll.FDS(D1,"FG_TOTAL_RETURNC(-10AY,0,AM)")/100</f>
        <v>8.7487809999999999E-2</v>
      </c>
      <c r="E2" s="24" cm="1">
        <f t="array" ref="E2:E122">_xll.FDS(E1,"FG_TOTAL_RETURNC(-10AY,0,AM)")/100</f>
        <v>3.4398080000000004E-2</v>
      </c>
      <c r="F2" s="24" cm="1">
        <f t="array" ref="F2:F122">_xll.FDS(F1,"FG_TOTAL_RETURNC(-10AY,0,AM)")/100</f>
        <v>-4.1553792999999999E-2</v>
      </c>
      <c r="G2" s="24" cm="1">
        <f t="array" ref="G2:G122">_xll.FDS(G1,"FG_TOTAL_RETURNC(-10AY,0,AM)")/100</f>
        <v>2.3492812999999998E-2</v>
      </c>
      <c r="H2" s="24" cm="1">
        <f t="array" ref="H2:H122">_xll.FDS(H1,"FG_TOTAL_RETURNC(-10AY,0,AM)")/100</f>
        <v>6.4631700000000007E-3</v>
      </c>
      <c r="I2" s="24" cm="1">
        <f t="array" ref="I2:I122">_xll.FDS(I1,"FG_TOTAL_RETURNC(-10AY,0,AM)")/100</f>
        <v>2.4265766000000001E-2</v>
      </c>
      <c r="J2" s="24" cm="1">
        <f t="array" ref="J2:J122">_xll.FDS(J1,"FG_TOTAL_RETURNC(-10AY,0,AM)")/100</f>
        <v>3.6568641999999998E-2</v>
      </c>
      <c r="K2" s="24" cm="1">
        <f t="array" ref="K2:K122">_xll.FDS(K1,"FG_TOTAL_RETURNC(-10AY,0,AM)")/100</f>
        <v>3.5648345999999996E-3</v>
      </c>
      <c r="L2" s="24" cm="1">
        <f t="array" ref="L2:L122">_xll.FDS(L1,"FG_TOTAL_RETURNC(-10AY,0,AM)")/100</f>
        <v>3.7300586999999996E-2</v>
      </c>
      <c r="M2" s="24" cm="1">
        <f t="array" ref="M2:M122">_xll.FDS(M1,"FG_TOTAL_RETURNC(-10AY,0,AM)")/100</f>
        <v>1.5886784000000001E-2</v>
      </c>
      <c r="N2" s="24" cm="1">
        <f t="array" ref="N2:N122">_xll.FDS(N1,"FG_TOTAL_RETURNC(-10AY,0,AM)")/100</f>
        <v>-9.8882860000000003E-2</v>
      </c>
      <c r="O2" s="24" cm="1">
        <f t="array" ref="O2:O122">_xll.FDS(O1,"FG_TOTAL_RETURNC(-10AY,0,AM)")/100</f>
        <v>1.5476227E-2</v>
      </c>
      <c r="P2" s="24" cm="1">
        <f t="array" ref="P2:P122">_xll.FDS(P1,"FG_TOTAL_RETURNC(-10AY,0,AM)")/100</f>
        <v>3.4021257999999999E-2</v>
      </c>
      <c r="Q2" s="24" cm="1">
        <f t="array" ref="Q2:Q122">_xll.FDS(Q1,"FG_TOTAL_RETURNC(-10AY,0,AM)")/100</f>
        <v>8.7704540000000011E-2</v>
      </c>
      <c r="R2" s="24" cm="1">
        <f t="array" ref="R2:R122">_xll.FDS(R1,"FG_TOTAL_RETURNC(-10AY,0,AM)")/100</f>
        <v>4.8908590000000002E-2</v>
      </c>
      <c r="S2" s="24" cm="1">
        <f t="array" ref="S2:S122">_xll.FDS(S1,"FG_TOTAL_RETURNC(-10AY,0,AM)")/100</f>
        <v>4.8667910000000002E-2</v>
      </c>
      <c r="T2" s="24" cm="1">
        <f t="array" ref="T2:T122">_xll.FDS(T1,"FG_TOTAL_RETURNC(-10AY,0,AM)")/100</f>
        <v>4.136157E-2</v>
      </c>
      <c r="U2" s="24" cm="1">
        <f t="array" ref="U2:U122">_xll.FDS(U1,"FG_TOTAL_RETURNC(-10AY,0,AM)")/100</f>
        <v>4.1907430000000002E-2</v>
      </c>
      <c r="V2" s="24" t="e" cm="1">
        <f t="array" ref="V2:V122">_xll.FDS(V1,"FG_TOTAL_RETURNC(-10AY,0,AM)")/100</f>
        <v>#N/A</v>
      </c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</row>
    <row r="3" spans="1:38" x14ac:dyDescent="0.35">
      <c r="A3" s="2">
        <v>41870</v>
      </c>
      <c r="B3" s="24" t="e">
        <v>#N/A</v>
      </c>
      <c r="C3" s="24">
        <v>-3.2522142000000004E-2</v>
      </c>
      <c r="D3" s="24">
        <v>1.2469649000000001E-2</v>
      </c>
      <c r="E3" s="24">
        <v>3.6470889999999999E-2</v>
      </c>
      <c r="F3" s="24">
        <v>-3.4270286999999997E-3</v>
      </c>
      <c r="G3" s="24">
        <v>1.1064887000000001E-2</v>
      </c>
      <c r="H3" s="24">
        <v>1.564455E-2</v>
      </c>
      <c r="I3" s="24">
        <v>6.8577529999999994E-3</v>
      </c>
      <c r="J3" s="24">
        <v>1.4222144999999999E-2</v>
      </c>
      <c r="K3" s="24">
        <v>3.1196833E-2</v>
      </c>
      <c r="L3" s="24">
        <v>1.3520837000000001E-2</v>
      </c>
      <c r="M3" s="24">
        <v>1.3161659000000001E-2</v>
      </c>
      <c r="N3" s="24">
        <v>-6.9788813999999991E-2</v>
      </c>
      <c r="O3" s="24">
        <v>3.2819867000000003E-2</v>
      </c>
      <c r="P3" s="24">
        <v>7.1204900000000002E-2</v>
      </c>
      <c r="Q3" s="24">
        <v>1.4660477999999999E-2</v>
      </c>
      <c r="R3" s="24">
        <v>6.156206E-3</v>
      </c>
      <c r="S3" s="24">
        <v>-5.3854046000000003E-2</v>
      </c>
      <c r="T3" s="24">
        <v>-4.1373968000000001E-3</v>
      </c>
      <c r="U3" s="24">
        <v>1.5718936999999999E-2</v>
      </c>
      <c r="V3" s="24" t="e">
        <v>#N/A</v>
      </c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</row>
    <row r="4" spans="1:38" x14ac:dyDescent="0.35">
      <c r="A4" s="2">
        <v>41901</v>
      </c>
      <c r="B4" s="24" t="e">
        <v>#N/A</v>
      </c>
      <c r="C4" s="24">
        <v>-2.2638856999999998E-2</v>
      </c>
      <c r="D4" s="24">
        <v>-3.4211457000000001E-2</v>
      </c>
      <c r="E4" s="24">
        <v>-7.7620745000000005E-3</v>
      </c>
      <c r="F4" s="24">
        <v>8.9408160000000007E-3</v>
      </c>
      <c r="G4" s="24">
        <v>-1.4837324999999998E-2</v>
      </c>
      <c r="H4" s="24">
        <v>-4.5594572999999999E-2</v>
      </c>
      <c r="I4" s="24">
        <v>-1.5479863E-2</v>
      </c>
      <c r="J4" s="24">
        <v>-4.4867991999999997E-3</v>
      </c>
      <c r="K4" s="24">
        <v>-5.0172210000000002E-2</v>
      </c>
      <c r="L4" s="24">
        <v>-6.3358189999999995E-2</v>
      </c>
      <c r="M4" s="24">
        <v>-3.6995231999999996E-2</v>
      </c>
      <c r="N4" s="24">
        <v>-1.2833178000000001E-2</v>
      </c>
      <c r="O4" s="24">
        <v>1.0700345E-2</v>
      </c>
      <c r="P4" s="24">
        <v>-3.8011730000000001E-2</v>
      </c>
      <c r="Q4" s="24">
        <v>2.8897404999999998E-2</v>
      </c>
      <c r="R4" s="24">
        <v>2.7261256999999997E-2</v>
      </c>
      <c r="S4" s="24">
        <v>-7.0922017000000004E-2</v>
      </c>
      <c r="T4" s="24">
        <v>5.2762746999999999E-2</v>
      </c>
      <c r="U4" s="24">
        <v>1.7296314E-2</v>
      </c>
      <c r="V4" s="24" t="e">
        <v>#N/A</v>
      </c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</row>
    <row r="5" spans="1:38" x14ac:dyDescent="0.35">
      <c r="A5" s="2">
        <v>41929</v>
      </c>
      <c r="B5" s="24" t="e">
        <v>#N/A</v>
      </c>
      <c r="C5" s="24">
        <v>-4.0243387000000005E-2</v>
      </c>
      <c r="D5" s="24">
        <v>-4.1799545E-2</v>
      </c>
      <c r="E5" s="24">
        <v>-2.3468018E-2</v>
      </c>
      <c r="F5" s="24">
        <v>-7.3619604000000005E-2</v>
      </c>
      <c r="G5" s="24">
        <v>-7.0594788000000006E-2</v>
      </c>
      <c r="H5" s="24">
        <v>-3.9380251999999998E-2</v>
      </c>
      <c r="I5" s="24">
        <v>-6.5408826000000003E-2</v>
      </c>
      <c r="J5" s="24">
        <v>-7.4647903000000002E-2</v>
      </c>
      <c r="K5" s="24">
        <v>-0.10438347000000001</v>
      </c>
      <c r="L5" s="24">
        <v>-5.5916189999999998E-2</v>
      </c>
      <c r="M5" s="24">
        <v>-6.0117299999999999E-2</v>
      </c>
      <c r="N5" s="24">
        <v>-0.16850006000000001</v>
      </c>
      <c r="O5" s="24">
        <v>-4.6198309999999992E-2</v>
      </c>
      <c r="P5" s="24">
        <v>-4.2147875000000001E-2</v>
      </c>
      <c r="Q5" s="24">
        <v>-8.2039890000000004E-2</v>
      </c>
      <c r="R5" s="24">
        <v>-3.5459459999999998E-2</v>
      </c>
      <c r="S5" s="24">
        <v>-1.6637265999999998E-2</v>
      </c>
      <c r="T5" s="24">
        <v>-0.15035515999999999</v>
      </c>
      <c r="U5" s="24">
        <v>-6.7114115000000002E-2</v>
      </c>
      <c r="V5" s="24" t="e">
        <v>#N/A</v>
      </c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</row>
    <row r="6" spans="1:38" x14ac:dyDescent="0.35">
      <c r="A6" s="2">
        <v>41962</v>
      </c>
      <c r="B6" s="24" t="e">
        <v>#N/A</v>
      </c>
      <c r="C6" s="24">
        <v>3.1691790000000004E-2</v>
      </c>
      <c r="D6" s="24">
        <v>2.957487E-2</v>
      </c>
      <c r="E6" s="24">
        <v>2.8838395999999999E-2</v>
      </c>
      <c r="F6" s="24">
        <v>-1.1037587999999999E-3</v>
      </c>
      <c r="G6" s="24">
        <v>-1.7045438E-2</v>
      </c>
      <c r="H6" s="24">
        <v>-5.3763389999999999E-3</v>
      </c>
      <c r="I6" s="24">
        <v>4.9125195000000003E-2</v>
      </c>
      <c r="J6" s="24">
        <v>1.0806799000000001E-2</v>
      </c>
      <c r="K6" s="24">
        <v>-1.1619687E-2</v>
      </c>
      <c r="L6" s="24">
        <v>-9.2280444999999989E-2</v>
      </c>
      <c r="M6" s="24">
        <v>8.8455560000000003E-2</v>
      </c>
      <c r="N6" s="24">
        <v>-5.4118633000000008E-3</v>
      </c>
      <c r="O6" s="24">
        <v>6.5590380000000004E-2</v>
      </c>
      <c r="P6" s="24">
        <v>1.4385462E-2</v>
      </c>
      <c r="Q6" s="24">
        <v>6.1594249999999996E-2</v>
      </c>
      <c r="R6" s="24">
        <v>3.1948565999999998E-2</v>
      </c>
      <c r="S6" s="24">
        <v>8.9171999999999987E-2</v>
      </c>
      <c r="T6" s="24">
        <v>4.9233555999999998E-2</v>
      </c>
      <c r="U6" s="24">
        <v>9.5927714999999997E-4</v>
      </c>
      <c r="V6" s="24" t="e">
        <v>#N/A</v>
      </c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</row>
    <row r="7" spans="1:38" x14ac:dyDescent="0.35">
      <c r="A7" s="2">
        <v>41992</v>
      </c>
      <c r="B7" s="24" t="e">
        <v>#N/A</v>
      </c>
      <c r="C7" s="24">
        <v>-6.9062890000000002E-2</v>
      </c>
      <c r="D7" s="24">
        <v>-3.1634570000000001E-2</v>
      </c>
      <c r="E7" s="24">
        <v>-1.3670743000000001E-2</v>
      </c>
      <c r="F7" s="24">
        <v>-7.6773643000000003E-2</v>
      </c>
      <c r="G7" s="24">
        <v>-3.0344486E-2</v>
      </c>
      <c r="H7" s="24">
        <v>-8.1676780000000004E-2</v>
      </c>
      <c r="I7" s="24">
        <v>-2.6646732999999999E-2</v>
      </c>
      <c r="J7" s="24">
        <v>-0.10100383</v>
      </c>
      <c r="K7" s="24">
        <v>-3.3160447999999996E-3</v>
      </c>
      <c r="L7" s="24">
        <v>-0.10947811</v>
      </c>
      <c r="M7" s="24">
        <v>-6.0410557000000004E-2</v>
      </c>
      <c r="N7" s="24">
        <v>-0.11850065000000001</v>
      </c>
      <c r="O7" s="24">
        <v>-5.4454745999999998E-2</v>
      </c>
      <c r="P7" s="24">
        <v>2.9490352000000001E-2</v>
      </c>
      <c r="Q7" s="24">
        <v>-0.12097084000000001</v>
      </c>
      <c r="R7" s="24">
        <v>-4.0062189999999998E-2</v>
      </c>
      <c r="S7" s="24">
        <v>-1.5350877999999998E-2</v>
      </c>
      <c r="T7" s="24">
        <v>-0.16555993999999999</v>
      </c>
      <c r="U7" s="24">
        <v>-0.10397702</v>
      </c>
      <c r="V7" s="24" t="e">
        <v>#N/A</v>
      </c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</row>
    <row r="8" spans="1:38" x14ac:dyDescent="0.35">
      <c r="A8" s="2">
        <v>42020</v>
      </c>
      <c r="B8" s="24" t="e">
        <v>#N/A</v>
      </c>
      <c r="C8" s="24">
        <v>-4.2958793999999995E-2</v>
      </c>
      <c r="D8" s="24">
        <v>-5.5782795E-3</v>
      </c>
      <c r="E8" s="24">
        <v>6.0949802000000004E-2</v>
      </c>
      <c r="F8" s="24">
        <v>-8.0408149999999998E-2</v>
      </c>
      <c r="G8" s="24">
        <v>-4.5556840000000001E-2</v>
      </c>
      <c r="H8" s="24">
        <v>-1.5026927000000002E-3</v>
      </c>
      <c r="I8" s="24">
        <v>1.6129017000000002E-2</v>
      </c>
      <c r="J8" s="24">
        <v>-1.6900479999999999E-2</v>
      </c>
      <c r="K8" s="24">
        <v>1.7001270999999998E-2</v>
      </c>
      <c r="L8" s="24">
        <v>1.9716859E-2</v>
      </c>
      <c r="M8" s="24">
        <v>6.3359739999999994E-3</v>
      </c>
      <c r="N8" s="24">
        <v>-0.11934011999999999</v>
      </c>
      <c r="O8" s="24">
        <v>7.975876300000001E-2</v>
      </c>
      <c r="P8" s="24">
        <v>4.1709303999999996E-2</v>
      </c>
      <c r="Q8" s="24">
        <v>1.294136E-3</v>
      </c>
      <c r="R8" s="24">
        <v>1.388061E-2</v>
      </c>
      <c r="S8" s="24">
        <v>4.7327399999999999E-2</v>
      </c>
      <c r="T8" s="24">
        <v>5.7760360000000004E-2</v>
      </c>
      <c r="U8" s="24">
        <v>3.6359549000000005E-2</v>
      </c>
      <c r="V8" s="24" t="e">
        <v>#N/A</v>
      </c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</row>
    <row r="9" spans="1:38" x14ac:dyDescent="0.35">
      <c r="A9" s="2">
        <v>42054</v>
      </c>
      <c r="B9" s="24" t="e">
        <v>#N/A</v>
      </c>
      <c r="C9" s="24">
        <v>8.8180540000000002E-2</v>
      </c>
      <c r="D9" s="24">
        <v>2.9917717E-2</v>
      </c>
      <c r="E9" s="24">
        <v>4.2278049999999998E-2</v>
      </c>
      <c r="F9" s="24">
        <v>4.8823714000000004E-2</v>
      </c>
      <c r="G9" s="24">
        <v>6.9352389999999993E-3</v>
      </c>
      <c r="H9" s="24">
        <v>6.0195920000000007E-3</v>
      </c>
      <c r="I9" s="24">
        <v>4.4312120000000003E-2</v>
      </c>
      <c r="J9" s="24">
        <v>9.7988843999999992E-3</v>
      </c>
      <c r="K9" s="24">
        <v>-9.069859999999999E-3</v>
      </c>
      <c r="L9" s="24">
        <v>-4.7385693E-2</v>
      </c>
      <c r="M9" s="24">
        <v>5.3439736000000002E-2</v>
      </c>
      <c r="N9" s="24">
        <v>7.8616139999999994E-3</v>
      </c>
      <c r="O9" s="24">
        <v>3.1036615E-2</v>
      </c>
      <c r="P9" s="24">
        <v>2.315998E-2</v>
      </c>
      <c r="Q9" s="24">
        <v>4.6962499999999997E-2</v>
      </c>
      <c r="R9" s="24">
        <v>4.2068004999999999E-2</v>
      </c>
      <c r="S9" s="24">
        <v>-7.6555014000000005E-2</v>
      </c>
      <c r="T9" s="24">
        <v>8.7269545E-3</v>
      </c>
      <c r="U9" s="24">
        <v>3.3403993E-2</v>
      </c>
      <c r="V9" s="24" t="e">
        <v>#N/A</v>
      </c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</row>
    <row r="10" spans="1:38" x14ac:dyDescent="0.35">
      <c r="A10" s="2">
        <v>42082</v>
      </c>
      <c r="B10" s="24" t="e">
        <v>#N/A</v>
      </c>
      <c r="C10" s="24">
        <v>-5.85795E-2</v>
      </c>
      <c r="D10" s="24">
        <v>-1.7066121E-2</v>
      </c>
      <c r="E10" s="24">
        <v>-2.5292336999999998E-2</v>
      </c>
      <c r="F10" s="24">
        <v>-3.3432065999999996E-2</v>
      </c>
      <c r="G10" s="24">
        <v>-6.5267267000000004E-2</v>
      </c>
      <c r="H10" s="24">
        <v>-2.3934186E-2</v>
      </c>
      <c r="I10" s="24">
        <v>1.773274E-2</v>
      </c>
      <c r="J10" s="24">
        <v>-5.7882070000000001E-3</v>
      </c>
      <c r="K10" s="24">
        <v>2.674079E-2</v>
      </c>
      <c r="L10" s="24">
        <v>-0.13607777000000001</v>
      </c>
      <c r="M10" s="24">
        <v>-5.2040814999999997E-2</v>
      </c>
      <c r="N10" s="24">
        <v>-0.20748829000000002</v>
      </c>
      <c r="O10" s="24">
        <v>-2.9951930000000002E-2</v>
      </c>
      <c r="P10" s="24">
        <v>1.2660622999999999E-2</v>
      </c>
      <c r="Q10" s="24">
        <v>-6.7977486000000004E-2</v>
      </c>
      <c r="R10" s="24">
        <v>-4.2394756999999998E-2</v>
      </c>
      <c r="S10" s="24">
        <v>-0.11091917999999999</v>
      </c>
      <c r="T10" s="24">
        <v>-9.7200985000000004E-2</v>
      </c>
      <c r="U10" s="24">
        <v>-0.10466903999999999</v>
      </c>
      <c r="V10" s="24" t="e">
        <v>#N/A</v>
      </c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</row>
    <row r="11" spans="1:38" x14ac:dyDescent="0.35">
      <c r="A11" s="2">
        <v>42111</v>
      </c>
      <c r="B11" s="24" t="e">
        <v>#N/A</v>
      </c>
      <c r="C11" s="24">
        <v>9.541094E-2</v>
      </c>
      <c r="D11" s="24">
        <v>1.8840075000000001E-2</v>
      </c>
      <c r="E11" s="24">
        <v>2.5703906999999998E-2</v>
      </c>
      <c r="F11" s="24">
        <v>8.4938760000000002E-2</v>
      </c>
      <c r="G11" s="24">
        <v>3.6491275000000004E-2</v>
      </c>
      <c r="H11" s="24">
        <v>4.9042106000000002E-2</v>
      </c>
      <c r="I11" s="24">
        <v>-1.8668294000000002E-2</v>
      </c>
      <c r="J11" s="24">
        <v>2.0547867000000001E-2</v>
      </c>
      <c r="K11" s="24">
        <v>6.6596745999999998E-2</v>
      </c>
      <c r="L11" s="24">
        <v>0.14278626</v>
      </c>
      <c r="M11" s="24">
        <v>7.5657370000000002E-2</v>
      </c>
      <c r="N11" s="24">
        <v>3.0511737000000001E-2</v>
      </c>
      <c r="O11" s="24">
        <v>0</v>
      </c>
      <c r="P11" s="24">
        <v>0.15968931</v>
      </c>
      <c r="Q11" s="24">
        <v>3.148985E-2</v>
      </c>
      <c r="R11" s="24">
        <v>2.2661210000000001E-2</v>
      </c>
      <c r="S11" s="24">
        <v>-1.942575E-3</v>
      </c>
      <c r="T11" s="24">
        <v>0.18750213999999998</v>
      </c>
      <c r="U11" s="24">
        <v>4.4126034000000001E-2</v>
      </c>
      <c r="V11" s="24" t="e">
        <v>#N/A</v>
      </c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</row>
    <row r="12" spans="1:38" x14ac:dyDescent="0.35">
      <c r="A12" s="2">
        <v>42143</v>
      </c>
      <c r="B12" s="24" t="e">
        <v>#N/A</v>
      </c>
      <c r="C12" s="24">
        <v>1.9171595999999999E-2</v>
      </c>
      <c r="D12" s="24">
        <v>-5.3299484000000001E-2</v>
      </c>
      <c r="E12" s="24">
        <v>-1.5274525000000001E-2</v>
      </c>
      <c r="F12" s="24">
        <v>4.1162133000000004E-2</v>
      </c>
      <c r="G12" s="24">
        <v>3.7914634000000003E-2</v>
      </c>
      <c r="H12" s="24">
        <v>-1.2417734E-2</v>
      </c>
      <c r="I12" s="24">
        <v>5.3899884000000002E-2</v>
      </c>
      <c r="J12" s="24">
        <v>6.8792104999999999E-3</v>
      </c>
      <c r="K12" s="24">
        <v>-2.3762703E-2</v>
      </c>
      <c r="L12" s="24">
        <v>2.9100895000000002E-2</v>
      </c>
      <c r="M12" s="24">
        <v>-7.0049760000000004E-3</v>
      </c>
      <c r="N12" s="24">
        <v>0.19770776999999998</v>
      </c>
      <c r="O12" s="24">
        <v>-5.1667930000000001E-2</v>
      </c>
      <c r="P12" s="24">
        <v>8.6573359999999999E-3</v>
      </c>
      <c r="Q12" s="24">
        <v>3.8541078999999999E-2</v>
      </c>
      <c r="R12" s="24">
        <v>-2.6096940000000002E-2</v>
      </c>
      <c r="S12" s="24">
        <v>0.10813152000000001</v>
      </c>
      <c r="T12" s="24">
        <v>-1.1935592E-2</v>
      </c>
      <c r="U12" s="24">
        <v>-8.6168999999999996E-2</v>
      </c>
      <c r="V12" s="24" t="e">
        <v>#N/A</v>
      </c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</row>
    <row r="13" spans="1:38" x14ac:dyDescent="0.35">
      <c r="A13" s="2">
        <v>42174</v>
      </c>
      <c r="B13" s="24" t="e">
        <v>#N/A</v>
      </c>
      <c r="C13" s="24">
        <v>-9.9396229999999988E-2</v>
      </c>
      <c r="D13" s="24">
        <v>-7.7748002999999996E-2</v>
      </c>
      <c r="E13" s="24">
        <v>-4.3625773999999999E-2</v>
      </c>
      <c r="F13" s="24">
        <v>-9.5348780000000008E-2</v>
      </c>
      <c r="G13" s="24">
        <v>-2.8019310000000002E-2</v>
      </c>
      <c r="H13" s="24">
        <v>-8.5059220000000005E-2</v>
      </c>
      <c r="I13" s="24">
        <v>-5.4151654E-2</v>
      </c>
      <c r="J13" s="24">
        <v>-1.9496738999999999E-2</v>
      </c>
      <c r="K13" s="24">
        <v>-6.5133451999999994E-2</v>
      </c>
      <c r="L13" s="24">
        <v>-4.8958959999999996E-2</v>
      </c>
      <c r="M13" s="24">
        <v>-7.4287295000000003E-2</v>
      </c>
      <c r="N13" s="24">
        <v>-0.11483246</v>
      </c>
      <c r="O13" s="24">
        <v>-1.5052319000000002E-2</v>
      </c>
      <c r="P13" s="24">
        <v>-7.2712603000000001E-2</v>
      </c>
      <c r="Q13" s="24">
        <v>-4.6597059999999996E-2</v>
      </c>
      <c r="R13" s="24">
        <v>-2.2608697000000001E-2</v>
      </c>
      <c r="S13" s="24">
        <v>-0.10089779</v>
      </c>
      <c r="T13" s="24">
        <v>-2.0652533000000001E-2</v>
      </c>
      <c r="U13" s="24">
        <v>8.1681729999999994E-2</v>
      </c>
      <c r="V13" s="24" t="e">
        <v>#N/A</v>
      </c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</row>
    <row r="14" spans="1:38" x14ac:dyDescent="0.35">
      <c r="A14" s="2">
        <v>42202</v>
      </c>
      <c r="B14" s="24" t="e">
        <v>#N/A</v>
      </c>
      <c r="C14" s="24">
        <v>-9.3412399999999989E-3</v>
      </c>
      <c r="D14" s="24">
        <v>-1.9225954999999999E-2</v>
      </c>
      <c r="E14" s="24">
        <v>-6.9943666000000003E-3</v>
      </c>
      <c r="F14" s="24">
        <v>-1.9236565000000001E-2</v>
      </c>
      <c r="G14" s="24">
        <v>-4.8327150000000006E-2</v>
      </c>
      <c r="H14" s="24">
        <v>-3.2942890000000002E-3</v>
      </c>
      <c r="I14" s="24">
        <v>-1.3358772000000001E-2</v>
      </c>
      <c r="J14" s="24">
        <v>-1.8717288999999998E-2</v>
      </c>
      <c r="K14" s="24">
        <v>-4.9200891999999996E-2</v>
      </c>
      <c r="L14" s="24">
        <v>-4.9974736999999998E-2</v>
      </c>
      <c r="M14" s="24">
        <v>2.1886945000000001E-2</v>
      </c>
      <c r="N14" s="24">
        <v>-6.8468512999999995E-2</v>
      </c>
      <c r="O14" s="24">
        <v>4.7564745000000005E-2</v>
      </c>
      <c r="P14" s="24">
        <v>-6.9022236000000001E-2</v>
      </c>
      <c r="Q14" s="24">
        <v>6.2780380000000005E-3</v>
      </c>
      <c r="R14" s="24">
        <v>-8.1462860000000008E-3</v>
      </c>
      <c r="S14" s="24">
        <v>2.7465224E-2</v>
      </c>
      <c r="T14" s="24">
        <v>2.4451733E-2</v>
      </c>
      <c r="U14" s="24">
        <v>6.4408659999999993E-2</v>
      </c>
      <c r="V14" s="24" t="e">
        <v>#N/A</v>
      </c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</row>
    <row r="15" spans="1:38" x14ac:dyDescent="0.35">
      <c r="A15" s="2">
        <v>42235</v>
      </c>
      <c r="B15" s="24" t="e">
        <v>#N/A</v>
      </c>
      <c r="C15" s="24">
        <v>-0.10459584</v>
      </c>
      <c r="D15" s="24">
        <v>-0.13728009999999999</v>
      </c>
      <c r="E15" s="24">
        <v>-6.3398304000000003E-2</v>
      </c>
      <c r="F15" s="24">
        <v>-2.6443362000000002E-2</v>
      </c>
      <c r="G15" s="24">
        <v>-0.17471593999999999</v>
      </c>
      <c r="H15" s="24">
        <v>-0.17009036999999999</v>
      </c>
      <c r="I15" s="24">
        <v>-0.15860737</v>
      </c>
      <c r="J15" s="24">
        <v>-7.1515800000000004E-2</v>
      </c>
      <c r="K15" s="24">
        <v>-9.631735000000001E-2</v>
      </c>
      <c r="L15" s="24">
        <v>-0.18305838000000002</v>
      </c>
      <c r="M15" s="24">
        <v>-0.10529548</v>
      </c>
      <c r="N15" s="24">
        <v>-3.9651869999999999E-2</v>
      </c>
      <c r="O15" s="24">
        <v>-3.7898122999999999E-2</v>
      </c>
      <c r="P15" s="24">
        <v>-0.10197115</v>
      </c>
      <c r="Q15" s="24">
        <v>-4.5231760000000003E-2</v>
      </c>
      <c r="R15" s="24">
        <v>-6.7727566000000003E-2</v>
      </c>
      <c r="S15" s="24">
        <v>-0.17711943000000002</v>
      </c>
      <c r="T15" s="24">
        <v>-9.0059039999999993E-2</v>
      </c>
      <c r="U15" s="24">
        <v>-0.13458527000000001</v>
      </c>
      <c r="V15" s="24" t="e">
        <v>#N/A</v>
      </c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</row>
    <row r="16" spans="1:38" x14ac:dyDescent="0.35">
      <c r="A16" s="2">
        <v>42265</v>
      </c>
      <c r="B16" s="24" t="e">
        <v>#N/A</v>
      </c>
      <c r="C16" s="24">
        <v>3.1858325E-2</v>
      </c>
      <c r="D16" s="24">
        <v>-7.9562426000000006E-2</v>
      </c>
      <c r="E16" s="24">
        <v>-3.6722421999999998E-2</v>
      </c>
      <c r="F16" s="24">
        <v>-1.6296983000000001E-2</v>
      </c>
      <c r="G16" s="24">
        <v>-1.3769328999999999E-2</v>
      </c>
      <c r="H16" s="24">
        <v>3.8613795999999999E-2</v>
      </c>
      <c r="I16" s="24">
        <v>5.5938720000000004E-2</v>
      </c>
      <c r="J16" s="24">
        <v>3.7574768E-4</v>
      </c>
      <c r="K16" s="24">
        <v>4.4723153000000002E-2</v>
      </c>
      <c r="L16" s="24">
        <v>-0.11728155</v>
      </c>
      <c r="M16" s="24">
        <v>-3.5340547999999999E-2</v>
      </c>
      <c r="N16" s="24">
        <v>6.344401999999999E-2</v>
      </c>
      <c r="O16" s="24">
        <v>-7.5802683999999995E-2</v>
      </c>
      <c r="P16" s="24">
        <v>-5.5508670000000003E-2</v>
      </c>
      <c r="Q16" s="24">
        <v>-1.7269492000000001E-2</v>
      </c>
      <c r="R16" s="24">
        <v>8.1211330000000009E-3</v>
      </c>
      <c r="S16" s="24">
        <v>-4.3626785000000001E-2</v>
      </c>
      <c r="T16" s="24">
        <v>-3.623581E-2</v>
      </c>
      <c r="U16" s="24">
        <v>-5.666065E-2</v>
      </c>
      <c r="V16" s="24" t="e">
        <v>#N/A</v>
      </c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</row>
    <row r="17" spans="1:38" x14ac:dyDescent="0.35">
      <c r="A17" s="2">
        <v>42296</v>
      </c>
      <c r="B17" s="24" t="e">
        <v>#N/A</v>
      </c>
      <c r="C17" s="24">
        <v>1.4293194E-3</v>
      </c>
      <c r="D17" s="24">
        <v>0.13128042000000001</v>
      </c>
      <c r="E17" s="24">
        <v>2.1621584999999999E-2</v>
      </c>
      <c r="F17" s="24">
        <v>9.2041490000000002E-4</v>
      </c>
      <c r="G17" s="24">
        <v>2.1378756000000002E-2</v>
      </c>
      <c r="H17" s="24">
        <v>2.4785518999999999E-2</v>
      </c>
      <c r="I17" s="24">
        <v>3.4107446999999999E-2</v>
      </c>
      <c r="J17" s="24">
        <v>3.1924844000000001E-2</v>
      </c>
      <c r="K17" s="24">
        <v>8.0216049999999997E-2</v>
      </c>
      <c r="L17" s="24">
        <v>3.6075710999999996E-2</v>
      </c>
      <c r="M17" s="24">
        <v>6.4200640000000003E-2</v>
      </c>
      <c r="N17" s="24">
        <v>-1.9886315000000002E-2</v>
      </c>
      <c r="O17" s="24">
        <v>5.6948423000000005E-2</v>
      </c>
      <c r="P17" s="24">
        <v>8.3575490000000002E-2</v>
      </c>
      <c r="Q17" s="24">
        <v>4.0133000000000002E-2</v>
      </c>
      <c r="R17" s="24">
        <v>1.9125104E-2</v>
      </c>
      <c r="S17" s="24">
        <v>0.11541629</v>
      </c>
      <c r="T17" s="24">
        <v>2.9180765000000001E-2</v>
      </c>
      <c r="U17" s="24">
        <v>0.10926520999999999</v>
      </c>
      <c r="V17" s="24">
        <v>5.9968233000000003E-2</v>
      </c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</row>
    <row r="18" spans="1:38" x14ac:dyDescent="0.35">
      <c r="A18" s="2">
        <v>42327</v>
      </c>
      <c r="B18" s="24" t="e">
        <v>#N/A</v>
      </c>
      <c r="C18" s="24">
        <v>-4.8815249999999998E-2</v>
      </c>
      <c r="D18" s="24">
        <v>9.5498559999999998E-4</v>
      </c>
      <c r="E18" s="24">
        <v>-4.4555783000000002E-2</v>
      </c>
      <c r="F18" s="24">
        <v>-9.9999959999999999E-2</v>
      </c>
      <c r="G18" s="24">
        <v>-5.5229899999999998E-2</v>
      </c>
      <c r="H18" s="24">
        <v>-3.2558203000000001E-2</v>
      </c>
      <c r="I18" s="24">
        <v>-3.0877173000000001E-2</v>
      </c>
      <c r="J18" s="24">
        <v>-1.2738705E-3</v>
      </c>
      <c r="K18" s="24">
        <v>-2.0740747E-2</v>
      </c>
      <c r="L18" s="24">
        <v>6.7091345999999996E-2</v>
      </c>
      <c r="M18" s="24">
        <v>-6.3001337000000004E-2</v>
      </c>
      <c r="N18" s="24">
        <v>-8.2125610000000016E-2</v>
      </c>
      <c r="O18" s="24">
        <v>-7.6245364999999996E-2</v>
      </c>
      <c r="P18" s="24">
        <v>-2.4541199999999999E-2</v>
      </c>
      <c r="Q18" s="24">
        <v>-8.4474930000000004E-2</v>
      </c>
      <c r="R18" s="24">
        <v>-2.2542059999999999E-2</v>
      </c>
      <c r="S18" s="24">
        <v>3.5230397999999996E-2</v>
      </c>
      <c r="T18" s="24">
        <v>-0.14449292</v>
      </c>
      <c r="U18" s="24">
        <v>-5.5875660000000001E-2</v>
      </c>
      <c r="V18" s="24">
        <v>-7.2499094E-2</v>
      </c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</row>
    <row r="19" spans="1:38" x14ac:dyDescent="0.35">
      <c r="A19" s="2">
        <v>42356</v>
      </c>
      <c r="B19" s="24" t="e">
        <v>#N/A</v>
      </c>
      <c r="C19" s="24">
        <v>-3.5113989999999998E-2</v>
      </c>
      <c r="D19" s="24">
        <v>-3.4828246E-2</v>
      </c>
      <c r="E19" s="24">
        <v>-3.0749083E-2</v>
      </c>
      <c r="F19" s="24">
        <v>-7.0753517000000002E-2</v>
      </c>
      <c r="G19" s="24">
        <v>-8.5879270000000008E-2</v>
      </c>
      <c r="H19" s="24">
        <v>-1.2499928E-2</v>
      </c>
      <c r="I19" s="24">
        <v>-4.3446779999999997E-2</v>
      </c>
      <c r="J19" s="24">
        <v>-6.5142154999999993E-2</v>
      </c>
      <c r="K19" s="24">
        <v>-3.3850253000000004E-2</v>
      </c>
      <c r="L19" s="24">
        <v>-0.15559095000000001</v>
      </c>
      <c r="M19" s="24">
        <v>-0.15141784999999999</v>
      </c>
      <c r="N19" s="24">
        <v>-0.12315792</v>
      </c>
      <c r="O19" s="24">
        <v>-1.1005401600000001E-3</v>
      </c>
      <c r="P19" s="24">
        <v>-4.1226206000000001E-2</v>
      </c>
      <c r="Q19" s="24">
        <v>-0.10623436999999999</v>
      </c>
      <c r="R19" s="24">
        <v>-7.2239757000000002E-2</v>
      </c>
      <c r="S19" s="24">
        <v>-0.12232267000000001</v>
      </c>
      <c r="T19" s="24">
        <v>-4.1434049999999993E-2</v>
      </c>
      <c r="U19" s="24">
        <v>-0.100061</v>
      </c>
      <c r="V19" s="24">
        <v>-1.1916815999999998E-2</v>
      </c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</row>
    <row r="20" spans="1:38" x14ac:dyDescent="0.35">
      <c r="A20" s="2">
        <v>42388</v>
      </c>
      <c r="B20" s="24" t="e">
        <v>#N/A</v>
      </c>
      <c r="C20" s="24">
        <v>-7.1041822000000004E-2</v>
      </c>
      <c r="D20" s="24">
        <v>5.3670406000000002E-3</v>
      </c>
      <c r="E20" s="24">
        <v>-9.2801389999999997E-2</v>
      </c>
      <c r="F20" s="24">
        <v>-0.10901367000000001</v>
      </c>
      <c r="G20" s="24">
        <v>-0.10185253</v>
      </c>
      <c r="H20" s="24">
        <v>-3.7237227000000005E-2</v>
      </c>
      <c r="I20" s="24">
        <v>-8.6949109999999996E-2</v>
      </c>
      <c r="J20" s="24">
        <v>-0.11150199000000001</v>
      </c>
      <c r="K20" s="24">
        <v>-6.243783E-2</v>
      </c>
      <c r="L20" s="24">
        <v>-0.13126749000000001</v>
      </c>
      <c r="M20" s="24">
        <v>-0.15271055</v>
      </c>
      <c r="N20" s="24">
        <v>-0.15812338000000001</v>
      </c>
      <c r="O20" s="24">
        <v>-6.8879485000000004E-2</v>
      </c>
      <c r="P20" s="24">
        <v>-0.13560485999999999</v>
      </c>
      <c r="Q20" s="24">
        <v>-9.0660989999999997E-2</v>
      </c>
      <c r="R20" s="24">
        <v>-1.4716923E-2</v>
      </c>
      <c r="S20" s="24">
        <v>-7.1316004000000002E-2</v>
      </c>
      <c r="T20" s="24">
        <v>-9.2828219999999989E-2</v>
      </c>
      <c r="U20" s="24">
        <v>-8.2910360000000002E-2</v>
      </c>
      <c r="V20" s="24">
        <v>-0.1748873</v>
      </c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</row>
    <row r="21" spans="1:38" x14ac:dyDescent="0.35">
      <c r="A21" s="2">
        <v>42419</v>
      </c>
      <c r="B21" s="24" t="e">
        <v>#N/A</v>
      </c>
      <c r="C21" s="24">
        <v>0.13407253999999999</v>
      </c>
      <c r="D21" s="24">
        <v>9.0147729999999995E-2</v>
      </c>
      <c r="E21" s="24">
        <v>9.1483709999999996E-2</v>
      </c>
      <c r="F21" s="24">
        <v>0.12132585999999999</v>
      </c>
      <c r="G21" s="24">
        <v>0.18323146999999998</v>
      </c>
      <c r="H21" s="24">
        <v>8.8275795000000004E-2</v>
      </c>
      <c r="I21" s="24">
        <v>8.2051280000000004E-2</v>
      </c>
      <c r="J21" s="24">
        <v>6.4336658000000005E-2</v>
      </c>
      <c r="K21" s="24">
        <v>-3.4195185E-3</v>
      </c>
      <c r="L21" s="24">
        <v>8.6670280000000002E-2</v>
      </c>
      <c r="M21" s="24">
        <v>0.16510986</v>
      </c>
      <c r="N21" s="24">
        <v>-0.10853839000000001</v>
      </c>
      <c r="O21" s="24">
        <v>-3.2975733E-2</v>
      </c>
      <c r="P21" s="24">
        <v>-3.1039715000000002E-3</v>
      </c>
      <c r="Q21" s="24">
        <v>0.13294447000000001</v>
      </c>
      <c r="R21" s="24">
        <v>4.2795777E-2</v>
      </c>
      <c r="S21" s="24">
        <v>6.9217205000000004E-2</v>
      </c>
      <c r="T21" s="24">
        <v>0.11773359</v>
      </c>
      <c r="U21" s="24">
        <v>6.5234065000000008E-2</v>
      </c>
      <c r="V21" s="24">
        <v>1.9385576000000002E-2</v>
      </c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</row>
    <row r="22" spans="1:38" x14ac:dyDescent="0.35">
      <c r="A22" s="2">
        <v>42447</v>
      </c>
      <c r="B22" s="24" t="e">
        <v>#N/A</v>
      </c>
      <c r="C22" s="24">
        <v>8.5333349999999988E-2</v>
      </c>
      <c r="D22" s="24">
        <v>8.3596944999999992E-2</v>
      </c>
      <c r="E22" s="24">
        <v>0.11429441000000001</v>
      </c>
      <c r="F22" s="24">
        <v>9.7601779999999999E-2</v>
      </c>
      <c r="G22" s="24">
        <v>0.22618484</v>
      </c>
      <c r="H22" s="24">
        <v>7.8580499999999998E-2</v>
      </c>
      <c r="I22" s="24">
        <v>0.10663508999999999</v>
      </c>
      <c r="J22" s="24">
        <v>0.10834550999999999</v>
      </c>
      <c r="K22" s="24">
        <v>0.11816418000000001</v>
      </c>
      <c r="L22" s="24">
        <v>0.3528521</v>
      </c>
      <c r="M22" s="24">
        <v>0.12697721000000001</v>
      </c>
      <c r="N22" s="24">
        <v>0.18019473999999999</v>
      </c>
      <c r="O22" s="24">
        <v>8.9153650000000001E-2</v>
      </c>
      <c r="P22" s="24">
        <v>9.3668940000000006E-2</v>
      </c>
      <c r="Q22" s="24">
        <v>7.1002720000000005E-2</v>
      </c>
      <c r="R22" s="24">
        <v>4.7546150000000002E-2</v>
      </c>
      <c r="S22" s="24">
        <v>0.17836655000000001</v>
      </c>
      <c r="T22" s="24">
        <v>0.12409485000000001</v>
      </c>
      <c r="U22" s="24">
        <v>2.0893334999999999E-2</v>
      </c>
      <c r="V22" s="24">
        <v>0.10838805999999999</v>
      </c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</row>
    <row r="23" spans="1:38" x14ac:dyDescent="0.35">
      <c r="A23" s="2">
        <v>42479</v>
      </c>
      <c r="B23" s="24" t="e">
        <v>#N/A</v>
      </c>
      <c r="C23" s="24">
        <v>3.6036014999999998E-2</v>
      </c>
      <c r="D23" s="24">
        <v>5.0041676000000005E-3</v>
      </c>
      <c r="E23" s="24">
        <v>-6.838083E-3</v>
      </c>
      <c r="F23" s="24">
        <v>2.5405884E-3</v>
      </c>
      <c r="G23" s="24">
        <v>0.16035212000000001</v>
      </c>
      <c r="H23" s="24">
        <v>5.5229069999999998E-2</v>
      </c>
      <c r="I23" s="24">
        <v>-2.2127092000000001E-2</v>
      </c>
      <c r="J23" s="24">
        <v>1.6040683E-2</v>
      </c>
      <c r="K23" s="24">
        <v>3.6056757000000002E-2</v>
      </c>
      <c r="L23" s="24">
        <v>7.5746300000000003E-2</v>
      </c>
      <c r="M23" s="24">
        <v>7.8638672999999992E-2</v>
      </c>
      <c r="N23" s="24">
        <v>6.138921E-2</v>
      </c>
      <c r="O23" s="24">
        <v>5.3941964999999995E-2</v>
      </c>
      <c r="P23" s="24">
        <v>4.9584865999999998E-2</v>
      </c>
      <c r="Q23" s="24">
        <v>1.0122061000000001E-3</v>
      </c>
      <c r="R23" s="24">
        <v>2.3890853E-2</v>
      </c>
      <c r="S23" s="24">
        <v>6.6063999999999998E-2</v>
      </c>
      <c r="T23" s="24">
        <v>2.6840329999999999E-2</v>
      </c>
      <c r="U23" s="24">
        <v>-1.0585724999999999E-2</v>
      </c>
      <c r="V23" s="24">
        <v>2.2592663999999998E-2</v>
      </c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</row>
    <row r="24" spans="1:38" x14ac:dyDescent="0.35">
      <c r="A24" s="2">
        <v>42509</v>
      </c>
      <c r="B24" s="24" t="e">
        <v>#N/A</v>
      </c>
      <c r="C24" s="24">
        <v>-7.6943397999999996E-2</v>
      </c>
      <c r="D24" s="24">
        <v>-0.10580914999999999</v>
      </c>
      <c r="E24" s="24">
        <v>1.4596461999999999E-2</v>
      </c>
      <c r="F24" s="24">
        <v>-0.12214899000000001</v>
      </c>
      <c r="G24" s="24">
        <v>-2.3087024999999997E-2</v>
      </c>
      <c r="H24" s="24">
        <v>-0.10801774</v>
      </c>
      <c r="I24" s="24">
        <v>-9.1970810000000014E-2</v>
      </c>
      <c r="J24" s="24">
        <v>-8.0794929999999987E-2</v>
      </c>
      <c r="K24" s="24">
        <v>-9.55202E-2</v>
      </c>
      <c r="L24" s="24">
        <v>-8.1512340000000003E-2</v>
      </c>
      <c r="M24" s="24">
        <v>-0.14759356000000001</v>
      </c>
      <c r="N24" s="24">
        <v>8.4716799999999995E-2</v>
      </c>
      <c r="O24" s="24">
        <v>-5.7981433999999998E-2</v>
      </c>
      <c r="P24" s="24">
        <v>-0.10669083</v>
      </c>
      <c r="Q24" s="24">
        <v>-5.5106163E-2</v>
      </c>
      <c r="R24" s="24">
        <v>-2.1285294999999999E-2</v>
      </c>
      <c r="S24" s="24">
        <v>-0.17047184000000001</v>
      </c>
      <c r="T24" s="24">
        <v>-7.4332894999999996E-2</v>
      </c>
      <c r="U24" s="24">
        <v>2.9957174999999999E-2</v>
      </c>
      <c r="V24" s="24">
        <v>3.9438010000000003E-2</v>
      </c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</row>
    <row r="25" spans="1:38" x14ac:dyDescent="0.35">
      <c r="A25" s="2">
        <v>42538</v>
      </c>
      <c r="B25" s="24" t="e">
        <v>#N/A</v>
      </c>
      <c r="C25" s="24">
        <v>3.0545235E-2</v>
      </c>
      <c r="D25" s="24">
        <v>7.0533632999999998E-2</v>
      </c>
      <c r="E25" s="24">
        <v>5.1031469999999995E-2</v>
      </c>
      <c r="F25" s="24">
        <v>-1.7898381000000001E-2</v>
      </c>
      <c r="G25" s="24">
        <v>1.1141062E-2</v>
      </c>
      <c r="H25" s="24">
        <v>-6.2422155999999999E-3</v>
      </c>
      <c r="I25" s="24">
        <v>9.4855309999999998E-2</v>
      </c>
      <c r="J25" s="24">
        <v>-1.6164958E-2</v>
      </c>
      <c r="K25" s="24">
        <v>3.4793258000000001E-2</v>
      </c>
      <c r="L25" s="24">
        <v>3.6253809999999997E-2</v>
      </c>
      <c r="M25" s="24">
        <v>7.2563767000000001E-2</v>
      </c>
      <c r="N25" s="24">
        <v>-9.5579389999999986E-2</v>
      </c>
      <c r="O25" s="24">
        <v>5.0911903000000001E-2</v>
      </c>
      <c r="P25" s="24">
        <v>3.1882524000000002E-2</v>
      </c>
      <c r="Q25" s="24">
        <v>-4.2803883999999997E-3</v>
      </c>
      <c r="R25" s="24">
        <v>2.5586962999999997E-2</v>
      </c>
      <c r="S25" s="24">
        <v>2.5950193E-2</v>
      </c>
      <c r="T25" s="24">
        <v>2.4645686000000003E-2</v>
      </c>
      <c r="U25" s="24">
        <v>-2.0775198999999998E-3</v>
      </c>
      <c r="V25" s="24">
        <v>-1.2769580000000001E-2</v>
      </c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</row>
    <row r="26" spans="1:38" x14ac:dyDescent="0.35">
      <c r="A26" s="2">
        <v>42570</v>
      </c>
      <c r="B26" s="24">
        <v>6.3408731999999995E-2</v>
      </c>
      <c r="C26" s="24">
        <v>8.9492440000000006E-2</v>
      </c>
      <c r="D26" s="24">
        <v>0.11289215000000001</v>
      </c>
      <c r="E26" s="24">
        <v>4.1689395999999997E-2</v>
      </c>
      <c r="F26" s="24">
        <v>2.0650624999999999E-2</v>
      </c>
      <c r="G26" s="24">
        <v>0.10804951000000002</v>
      </c>
      <c r="H26" s="24">
        <v>5.6232689999999995E-2</v>
      </c>
      <c r="I26" s="24">
        <v>8.9574219999999996E-2</v>
      </c>
      <c r="J26" s="24">
        <v>5.7810782999999998E-2</v>
      </c>
      <c r="K26" s="24">
        <v>6.7049025999999998E-2</v>
      </c>
      <c r="L26" s="24">
        <v>0.20131184000000002</v>
      </c>
      <c r="M26" s="24">
        <v>0.10990822</v>
      </c>
      <c r="N26" s="24">
        <v>-4.0951195000000003E-2</v>
      </c>
      <c r="O26" s="24">
        <v>4.6153307000000005E-2</v>
      </c>
      <c r="P26" s="24">
        <v>7.5701832999999996E-2</v>
      </c>
      <c r="Q26" s="24">
        <v>8.0207349999999997E-2</v>
      </c>
      <c r="R26" s="24">
        <v>4.9728513000000002E-2</v>
      </c>
      <c r="S26" s="24">
        <v>-3.3214687999999999E-2</v>
      </c>
      <c r="T26" s="24">
        <v>6.7759036999999994E-2</v>
      </c>
      <c r="U26" s="24">
        <v>6.3844559999999995E-2</v>
      </c>
      <c r="V26" s="24">
        <v>-1.0945617999999999E-2</v>
      </c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</row>
    <row r="27" spans="1:38" x14ac:dyDescent="0.35">
      <c r="A27" s="2">
        <v>42601</v>
      </c>
      <c r="B27" s="24">
        <v>2.7724980999999999E-2</v>
      </c>
      <c r="C27" s="24">
        <v>-1.3727008999999998E-2</v>
      </c>
      <c r="D27" s="24">
        <v>4.3700814000000004E-2</v>
      </c>
      <c r="E27" s="24">
        <v>-1.7417073E-3</v>
      </c>
      <c r="F27" s="24">
        <v>7.0438859999999992E-2</v>
      </c>
      <c r="G27" s="24">
        <v>7.7926040000000002E-2</v>
      </c>
      <c r="H27" s="24">
        <v>1.566267E-2</v>
      </c>
      <c r="I27" s="24">
        <v>2.3584843000000001E-2</v>
      </c>
      <c r="J27" s="24">
        <v>3.9285064000000001E-2</v>
      </c>
      <c r="K27" s="24">
        <v>6.1167717000000003E-2</v>
      </c>
      <c r="L27" s="24">
        <v>5.4095386999999995E-2</v>
      </c>
      <c r="M27" s="24">
        <v>7.8914046000000002E-2</v>
      </c>
      <c r="N27" s="24">
        <v>1.9283771999999998E-2</v>
      </c>
      <c r="O27" s="24">
        <v>2.4687052000000001E-2</v>
      </c>
      <c r="P27" s="24">
        <v>8.7715260000000003E-2</v>
      </c>
      <c r="Q27" s="24">
        <v>8.021665E-2</v>
      </c>
      <c r="R27" s="24">
        <v>3.1340479999999997E-2</v>
      </c>
      <c r="S27" s="24">
        <v>7.2412850000000001E-2</v>
      </c>
      <c r="T27" s="24">
        <v>1.3442397E-2</v>
      </c>
      <c r="U27" s="24">
        <v>1.3046265000000001E-3</v>
      </c>
      <c r="V27" s="24">
        <v>-4.6095075999999999E-2</v>
      </c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</row>
    <row r="28" spans="1:38" x14ac:dyDescent="0.35">
      <c r="A28" s="2">
        <v>42632</v>
      </c>
      <c r="B28" s="24">
        <v>-3.1042159E-2</v>
      </c>
      <c r="C28" s="24">
        <v>-5.0157666000000004E-2</v>
      </c>
      <c r="D28" s="24">
        <v>-2.8291225E-2</v>
      </c>
      <c r="E28" s="24">
        <v>-8.1006999999999996E-2</v>
      </c>
      <c r="F28" s="24">
        <v>-2.2653699999999999E-2</v>
      </c>
      <c r="G28" s="24">
        <v>-7.7074470000000006E-2</v>
      </c>
      <c r="H28" s="24">
        <v>-4.9822089999999999E-2</v>
      </c>
      <c r="I28" s="24">
        <v>2.0408154000000001E-2</v>
      </c>
      <c r="J28" s="24">
        <v>-0.11699109999999999</v>
      </c>
      <c r="K28" s="24">
        <v>-2.6550232999999999E-2</v>
      </c>
      <c r="L28" s="24">
        <v>-4.9579677999999995E-2</v>
      </c>
      <c r="M28" s="24">
        <v>-7.3142109999999996E-2</v>
      </c>
      <c r="N28" s="24">
        <v>-5.6756735000000003E-2</v>
      </c>
      <c r="O28" s="24">
        <v>1.0180472999999999E-3</v>
      </c>
      <c r="P28" s="24">
        <v>1.4777302999999999E-2</v>
      </c>
      <c r="Q28" s="24">
        <v>-0.10816627499999999</v>
      </c>
      <c r="R28" s="24">
        <v>-2.9913723E-2</v>
      </c>
      <c r="S28" s="24">
        <v>-2.9730439999999997E-2</v>
      </c>
      <c r="T28" s="24">
        <v>-2.7970076E-2</v>
      </c>
      <c r="U28" s="24">
        <v>-5.6677579999999998E-2</v>
      </c>
      <c r="V28" s="24">
        <v>-4.2245329999999998E-2</v>
      </c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</row>
    <row r="29" spans="1:38" x14ac:dyDescent="0.35">
      <c r="A29" s="2">
        <v>42662</v>
      </c>
      <c r="B29" s="24">
        <v>9.9160669999999989E-3</v>
      </c>
      <c r="C29" s="24">
        <v>7.4924110000000002E-2</v>
      </c>
      <c r="D29" s="24">
        <v>3.2220483000000001E-2</v>
      </c>
      <c r="E29" s="24">
        <v>1.8443227E-2</v>
      </c>
      <c r="F29" s="24">
        <v>-8.8301300000000003E-3</v>
      </c>
      <c r="G29" s="24">
        <v>9.4482899999999998E-3</v>
      </c>
      <c r="H29" s="24">
        <v>7.490516E-3</v>
      </c>
      <c r="I29" s="24">
        <v>2.0645142000000002E-2</v>
      </c>
      <c r="J29" s="24">
        <v>0.12071918999999999</v>
      </c>
      <c r="K29" s="24">
        <v>2.3506165000000002E-2</v>
      </c>
      <c r="L29" s="24">
        <v>0.13697386</v>
      </c>
      <c r="M29" s="24">
        <v>-1.1402726E-2</v>
      </c>
      <c r="N29" s="24">
        <v>6.8767905000000004E-2</v>
      </c>
      <c r="O29" s="24">
        <v>2.0338296999999998E-3</v>
      </c>
      <c r="P29" s="24">
        <v>7.073045E-3</v>
      </c>
      <c r="Q29" s="24">
        <v>3.9089800000000001E-2</v>
      </c>
      <c r="R29" s="24">
        <v>-4.3209195000000001E-3</v>
      </c>
      <c r="S29" s="24">
        <v>-5.1933526999999998E-3</v>
      </c>
      <c r="T29" s="24">
        <v>-2.9071449999999999E-2</v>
      </c>
      <c r="U29" s="24">
        <v>2.9696106999999999E-2</v>
      </c>
      <c r="V29" s="24">
        <v>-3.6406635999999999E-2</v>
      </c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</row>
    <row r="30" spans="1:38" x14ac:dyDescent="0.35">
      <c r="A30" s="2">
        <v>42692</v>
      </c>
      <c r="B30" s="24">
        <v>1.1329651000000001E-3</v>
      </c>
      <c r="C30" s="24">
        <v>-4.5781970000000005E-2</v>
      </c>
      <c r="D30" s="24">
        <v>-0.10304624000000001</v>
      </c>
      <c r="E30" s="24">
        <v>-0.10972034000000001</v>
      </c>
      <c r="F30" s="24">
        <v>-7.8507779999999999E-2</v>
      </c>
      <c r="G30" s="24">
        <v>-2.8381586E-2</v>
      </c>
      <c r="H30" s="24">
        <v>-8.364307E-2</v>
      </c>
      <c r="I30" s="24">
        <v>-5.3729414999999996E-2</v>
      </c>
      <c r="J30" s="24">
        <v>-0.17933537000000002</v>
      </c>
      <c r="K30" s="24">
        <v>-8.9235599999999998E-2</v>
      </c>
      <c r="L30" s="24">
        <v>-0.12557018</v>
      </c>
      <c r="M30" s="24">
        <v>-8.2570440000000009E-2</v>
      </c>
      <c r="N30" s="24">
        <v>2.2788167000000002E-2</v>
      </c>
      <c r="O30" s="24">
        <v>-0.11671173</v>
      </c>
      <c r="P30" s="24">
        <v>-6.3623189999999996E-2</v>
      </c>
      <c r="Q30" s="24">
        <v>-5.8314919999999999E-2</v>
      </c>
      <c r="R30" s="24">
        <v>-8.3564520000000003E-3</v>
      </c>
      <c r="S30" s="24">
        <v>-0.13756198</v>
      </c>
      <c r="T30" s="24">
        <v>-3.4524857999999999E-2</v>
      </c>
      <c r="U30" s="24">
        <v>-7.9812170000000002E-2</v>
      </c>
      <c r="V30" s="24">
        <v>0.16241419000000001</v>
      </c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</row>
    <row r="31" spans="1:38" x14ac:dyDescent="0.35">
      <c r="A31" s="2">
        <v>42723</v>
      </c>
      <c r="B31" s="24">
        <v>-1.9238055E-2</v>
      </c>
      <c r="C31" s="24">
        <v>6.4690113000000007E-3</v>
      </c>
      <c r="D31" s="24">
        <v>-1.0062873000000002E-2</v>
      </c>
      <c r="E31" s="24">
        <v>-6.4911785E-2</v>
      </c>
      <c r="F31" s="24">
        <v>8.9426039999999998E-2</v>
      </c>
      <c r="G31" s="24">
        <v>-6.5258145000000002E-3</v>
      </c>
      <c r="H31" s="24">
        <v>-1.1156200999999999E-2</v>
      </c>
      <c r="I31" s="24">
        <v>1.4028072000000001E-2</v>
      </c>
      <c r="J31" s="24">
        <v>3.0020832999999997E-2</v>
      </c>
      <c r="K31" s="24">
        <v>4.4465779999999996E-2</v>
      </c>
      <c r="L31" s="24">
        <v>-4.5412660000000001E-2</v>
      </c>
      <c r="M31" s="24">
        <v>7.3837039999999996E-3</v>
      </c>
      <c r="N31" s="24">
        <v>-9.1742873000000003E-3</v>
      </c>
      <c r="O31" s="24">
        <v>2.2596717000000002E-2</v>
      </c>
      <c r="P31" s="24">
        <v>-3.1767070000000001E-2</v>
      </c>
      <c r="Q31" s="24">
        <v>5.0160410000000002E-2</v>
      </c>
      <c r="R31" s="24">
        <v>3.2933949999999997E-2</v>
      </c>
      <c r="S31" s="24">
        <v>-3.3293008999999998E-2</v>
      </c>
      <c r="T31" s="24">
        <v>8.9240440000000004E-2</v>
      </c>
      <c r="U31" s="24">
        <v>-3.5860061999999998E-2</v>
      </c>
      <c r="V31" s="24">
        <v>6.6694855999999997E-2</v>
      </c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</row>
    <row r="32" spans="1:38" x14ac:dyDescent="0.35">
      <c r="A32" s="2">
        <v>42754</v>
      </c>
      <c r="B32" s="24">
        <v>-2.8797925000000002E-2</v>
      </c>
      <c r="C32" s="24">
        <v>3.8712262999999997E-2</v>
      </c>
      <c r="D32" s="24">
        <v>2.6546596999999998E-2</v>
      </c>
      <c r="E32" s="24">
        <v>8.4019780000000002E-2</v>
      </c>
      <c r="F32" s="24">
        <v>8.2253570000000012E-2</v>
      </c>
      <c r="G32" s="24">
        <v>6.2716125999999997E-2</v>
      </c>
      <c r="H32" s="24">
        <v>2.8828025E-2</v>
      </c>
      <c r="I32" s="24">
        <v>2.237308E-2</v>
      </c>
      <c r="J32" s="24">
        <v>-5.2630423999999995E-2</v>
      </c>
      <c r="K32" s="24">
        <v>4.7537684000000004E-2</v>
      </c>
      <c r="L32" s="24">
        <v>0.17603480999999999</v>
      </c>
      <c r="M32" s="24">
        <v>9.1333979999999995E-2</v>
      </c>
      <c r="N32" s="24">
        <v>5.4804206000000001E-2</v>
      </c>
      <c r="O32" s="24">
        <v>3.5457610000000001E-2</v>
      </c>
      <c r="P32" s="24">
        <v>6.2619330000000001E-2</v>
      </c>
      <c r="Q32" s="24">
        <v>4.6826480000000004E-2</v>
      </c>
      <c r="R32" s="24">
        <v>2.1334767000000001E-2</v>
      </c>
      <c r="S32" s="24">
        <v>-1.0649800000000001E-2</v>
      </c>
      <c r="T32" s="24">
        <v>1.6369224000000002E-2</v>
      </c>
      <c r="U32" s="24">
        <v>2.3237823999999997E-2</v>
      </c>
      <c r="V32" s="24">
        <v>-3.1865775999999998E-2</v>
      </c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</row>
    <row r="33" spans="1:38" x14ac:dyDescent="0.35">
      <c r="A33" s="2">
        <v>42783</v>
      </c>
      <c r="B33" s="24">
        <v>4.7351479999999994E-2</v>
      </c>
      <c r="C33" s="24">
        <v>5.0812483000000006E-2</v>
      </c>
      <c r="D33" s="24">
        <v>1.4869927999999999E-2</v>
      </c>
      <c r="E33" s="24">
        <v>-4.1432380000000005E-3</v>
      </c>
      <c r="F33" s="24">
        <v>9.8223690000000002E-2</v>
      </c>
      <c r="G33" s="24">
        <v>5.2243233E-2</v>
      </c>
      <c r="H33" s="24">
        <v>2.9166698000000001E-2</v>
      </c>
      <c r="I33" s="24">
        <v>7.5857519999999998E-2</v>
      </c>
      <c r="J33" s="24">
        <v>9.535217E-2</v>
      </c>
      <c r="K33" s="24">
        <v>3.2229424E-2</v>
      </c>
      <c r="L33" s="24">
        <v>8.6078050000000003E-2</v>
      </c>
      <c r="M33" s="24">
        <v>3.4495472999999999E-2</v>
      </c>
      <c r="N33" s="24">
        <v>-1.2787759000000001E-2</v>
      </c>
      <c r="O33" s="24">
        <v>5.8759569999999997E-2</v>
      </c>
      <c r="P33" s="24">
        <v>6.1052202999999999E-2</v>
      </c>
      <c r="Q33" s="24">
        <v>-1.4237165E-3</v>
      </c>
      <c r="R33" s="24">
        <v>1.4766334999999998E-2</v>
      </c>
      <c r="S33" s="24">
        <v>0.14294778999999999</v>
      </c>
      <c r="T33" s="24">
        <v>9.237885500000001E-3</v>
      </c>
      <c r="U33" s="24">
        <v>5.2233099999999998E-2</v>
      </c>
      <c r="V33" s="24">
        <v>4.2916179999999998E-2</v>
      </c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</row>
    <row r="34" spans="1:38" x14ac:dyDescent="0.35">
      <c r="A34" s="2">
        <v>42811</v>
      </c>
      <c r="B34" s="24">
        <v>8.8121889999999998E-3</v>
      </c>
      <c r="C34" s="24">
        <v>3.8537024999999996E-2</v>
      </c>
      <c r="D34" s="24">
        <v>4.2735099999999998E-2</v>
      </c>
      <c r="E34" s="24">
        <v>2.9123306000000002E-2</v>
      </c>
      <c r="F34" s="24">
        <v>7.0409059999999996E-2</v>
      </c>
      <c r="G34" s="24">
        <v>-5.6662024999999998E-2</v>
      </c>
      <c r="H34" s="24">
        <v>3.1713962999999998E-2</v>
      </c>
      <c r="I34" s="24">
        <v>2.0539641000000001E-2</v>
      </c>
      <c r="J34" s="24">
        <v>9.5144269999999989E-2</v>
      </c>
      <c r="K34" s="24">
        <v>5.7271004E-2</v>
      </c>
      <c r="L34" s="24">
        <v>-5.1223280000000003E-2</v>
      </c>
      <c r="M34" s="24">
        <v>5.0904512000000006E-2</v>
      </c>
      <c r="N34" s="24">
        <v>1.9430160000000002E-2</v>
      </c>
      <c r="O34" s="24">
        <v>6.61186E-2</v>
      </c>
      <c r="P34" s="24">
        <v>2.6321173E-2</v>
      </c>
      <c r="Q34" s="24">
        <v>-4.2871294000000004E-2</v>
      </c>
      <c r="R34" s="24">
        <v>-1.0685503000000001E-2</v>
      </c>
      <c r="S34" s="24">
        <v>1.5807032999999998E-2</v>
      </c>
      <c r="T34" s="24">
        <v>-3.3180773000000004E-2</v>
      </c>
      <c r="U34" s="24">
        <v>-1.5827298E-2</v>
      </c>
      <c r="V34" s="24">
        <v>-2.7208983999999999E-2</v>
      </c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</row>
    <row r="35" spans="1:38" x14ac:dyDescent="0.35">
      <c r="A35" s="2">
        <v>42844</v>
      </c>
      <c r="B35" s="24">
        <v>5.5069923000000002E-3</v>
      </c>
      <c r="C35" s="24">
        <v>5.1997066000000002E-2</v>
      </c>
      <c r="D35" s="24">
        <v>0</v>
      </c>
      <c r="E35" s="24">
        <v>2.0213722999999999E-2</v>
      </c>
      <c r="F35" s="24">
        <v>-1.4666676999999999E-2</v>
      </c>
      <c r="G35" s="24">
        <v>2.0815133999999998E-3</v>
      </c>
      <c r="H35" s="24">
        <v>1.3080835E-3</v>
      </c>
      <c r="I35" s="24">
        <v>-2.3130060000000001E-2</v>
      </c>
      <c r="J35" s="24">
        <v>1.7175913000000001E-2</v>
      </c>
      <c r="K35" s="24">
        <v>-3.1979084000000005E-2</v>
      </c>
      <c r="L35" s="24">
        <v>-2.0682275E-2</v>
      </c>
      <c r="M35" s="24">
        <v>-3.8818538E-2</v>
      </c>
      <c r="N35" s="24">
        <v>1.3977170000000001E-2</v>
      </c>
      <c r="O35" s="24">
        <v>1.2853145999999998E-3</v>
      </c>
      <c r="P35" s="24">
        <v>-1.3916492000000001E-2</v>
      </c>
      <c r="Q35" s="24">
        <v>4.2796849999999997E-2</v>
      </c>
      <c r="R35" s="24">
        <v>3.9782524E-3</v>
      </c>
      <c r="S35" s="24">
        <v>-2.7300714999999999E-3</v>
      </c>
      <c r="T35" s="24">
        <v>7.6923370000000005E-3</v>
      </c>
      <c r="U35" s="24">
        <v>1.5350938000000001E-2</v>
      </c>
      <c r="V35" s="24">
        <v>1.1725426000000001E-2</v>
      </c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</row>
    <row r="36" spans="1:38" x14ac:dyDescent="0.35">
      <c r="A36" s="2">
        <v>42874</v>
      </c>
      <c r="B36" s="24">
        <v>-1.5675187E-2</v>
      </c>
      <c r="C36" s="24">
        <v>-3.6620914999999997E-2</v>
      </c>
      <c r="D36" s="24">
        <v>6.908655000000001E-2</v>
      </c>
      <c r="E36" s="24">
        <v>3.6229850000000001E-2</v>
      </c>
      <c r="F36" s="24">
        <v>9.0211979999999997E-2</v>
      </c>
      <c r="G36" s="24">
        <v>3.6498546999999999E-2</v>
      </c>
      <c r="H36" s="24">
        <v>4.9640655999999998E-2</v>
      </c>
      <c r="I36" s="24">
        <v>6.150067E-2</v>
      </c>
      <c r="J36" s="24">
        <v>2.1205544E-2</v>
      </c>
      <c r="K36" s="24">
        <v>0.12540018</v>
      </c>
      <c r="L36" s="24">
        <v>-4.1140976000000003E-2</v>
      </c>
      <c r="M36" s="24">
        <v>5.4960490000000001E-2</v>
      </c>
      <c r="N36" s="24">
        <v>0.20426046</v>
      </c>
      <c r="O36" s="24">
        <v>3.5301566E-2</v>
      </c>
      <c r="P36" s="24">
        <v>7.3387146E-2</v>
      </c>
      <c r="Q36" s="24">
        <v>-4.7533455000000002E-2</v>
      </c>
      <c r="R36" s="24">
        <v>-1.1198341999999998E-2</v>
      </c>
      <c r="S36" s="24">
        <v>9.9917890000000009E-2</v>
      </c>
      <c r="T36" s="24">
        <v>2.1139144999999998E-2</v>
      </c>
      <c r="U36" s="24">
        <v>1.1519074000000001E-2</v>
      </c>
      <c r="V36" s="24">
        <v>6.4386129999999993E-3</v>
      </c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</row>
    <row r="37" spans="1:38" x14ac:dyDescent="0.35">
      <c r="A37" s="2">
        <v>42905</v>
      </c>
      <c r="B37" s="24">
        <v>4.873371E-2</v>
      </c>
      <c r="C37" s="24">
        <v>1.2593269000000001E-2</v>
      </c>
      <c r="D37" s="24">
        <v>-9.8575354000000007E-3</v>
      </c>
      <c r="E37" s="24">
        <v>9.5602273999999994E-3</v>
      </c>
      <c r="F37" s="24">
        <v>-7.8610179999999991E-3</v>
      </c>
      <c r="G37" s="24">
        <v>-2.9773831000000001E-2</v>
      </c>
      <c r="H37" s="24">
        <v>1.8668412999999998E-2</v>
      </c>
      <c r="I37" s="24">
        <v>1.564312E-2</v>
      </c>
      <c r="J37" s="24">
        <v>4.1915060000000004E-2</v>
      </c>
      <c r="K37" s="24">
        <v>1.3479114E-2</v>
      </c>
      <c r="L37" s="24">
        <v>-1.8592595999999999E-2</v>
      </c>
      <c r="M37" s="24">
        <v>-3.6451459999999998E-2</v>
      </c>
      <c r="N37" s="24">
        <v>3.7461042E-2</v>
      </c>
      <c r="O37" s="24">
        <v>1.6119003E-2</v>
      </c>
      <c r="P37" s="24">
        <v>3.1930804E-2</v>
      </c>
      <c r="Q37" s="24">
        <v>-8.1803860000000006E-2</v>
      </c>
      <c r="R37" s="24">
        <v>2.0327329999999998E-2</v>
      </c>
      <c r="S37" s="24">
        <v>4.8531649999999996E-2</v>
      </c>
      <c r="T37" s="24">
        <v>8.0506799999999993E-3</v>
      </c>
      <c r="U37" s="24">
        <v>6.1209917000000003E-2</v>
      </c>
      <c r="V37" s="24">
        <v>1.7593026000000001E-2</v>
      </c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</row>
    <row r="38" spans="1:38" x14ac:dyDescent="0.35">
      <c r="A38" s="2">
        <v>42935</v>
      </c>
      <c r="B38" s="24">
        <v>6.4399959999999992E-2</v>
      </c>
      <c r="C38" s="24">
        <v>5.8395146999999994E-2</v>
      </c>
      <c r="D38" s="24">
        <v>1.1119723E-2</v>
      </c>
      <c r="E38" s="24">
        <v>-1.2551784999999999E-2</v>
      </c>
      <c r="F38" s="24">
        <v>6.615364600000001E-2</v>
      </c>
      <c r="G38" s="24">
        <v>5.4633737000000002E-2</v>
      </c>
      <c r="H38" s="24">
        <v>-2.0807505E-2</v>
      </c>
      <c r="I38" s="24">
        <v>5.2196144999999999E-2</v>
      </c>
      <c r="J38" s="24">
        <v>6.6270590000000004E-2</v>
      </c>
      <c r="K38" s="24">
        <v>4.4923900000000003E-2</v>
      </c>
      <c r="L38" s="24">
        <v>9.1316339999999996E-2</v>
      </c>
      <c r="M38" s="24">
        <v>5.6033014999999999E-2</v>
      </c>
      <c r="N38" s="24">
        <v>8.0240729999999996E-2</v>
      </c>
      <c r="O38" s="24">
        <v>3.9082288999999999E-2</v>
      </c>
      <c r="P38" s="24">
        <v>6.7463993999999999E-2</v>
      </c>
      <c r="Q38" s="24">
        <v>5.7008029999999994E-2</v>
      </c>
      <c r="R38" s="24">
        <v>-3.3457280000000001E-3</v>
      </c>
      <c r="S38" s="24">
        <v>8.3183170000000001E-2</v>
      </c>
      <c r="T38" s="24">
        <v>4.5482040000000001E-2</v>
      </c>
      <c r="U38" s="24">
        <v>-1.7437994000000002E-2</v>
      </c>
      <c r="V38" s="24">
        <v>3.6538482000000004E-2</v>
      </c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</row>
    <row r="39" spans="1:38" x14ac:dyDescent="0.35">
      <c r="A39" s="2">
        <v>42965</v>
      </c>
      <c r="B39" s="24">
        <v>1.4152527E-2</v>
      </c>
      <c r="C39" s="24">
        <v>2.2119045E-2</v>
      </c>
      <c r="D39" s="24">
        <v>7.382631000000001E-4</v>
      </c>
      <c r="E39" s="24">
        <v>-2.1165489999999999E-2</v>
      </c>
      <c r="F39" s="24">
        <v>-2.3547411000000001E-3</v>
      </c>
      <c r="G39" s="24">
        <v>3.5897492999999996E-2</v>
      </c>
      <c r="H39" s="24">
        <v>6.3071250000000002E-3</v>
      </c>
      <c r="I39" s="24">
        <v>-1.7077804000000002E-2</v>
      </c>
      <c r="J39" s="24">
        <v>-5.0743819999999997E-3</v>
      </c>
      <c r="K39" s="24">
        <v>-4.6103835000000003E-2</v>
      </c>
      <c r="L39" s="24">
        <v>5.1171540000000001E-2</v>
      </c>
      <c r="M39" s="24">
        <v>4.1233299999999997E-3</v>
      </c>
      <c r="N39" s="24">
        <v>-4.1782737E-2</v>
      </c>
      <c r="O39" s="24">
        <v>-6.7786573999999997E-3</v>
      </c>
      <c r="P39" s="24">
        <v>2.1047235000000001E-2</v>
      </c>
      <c r="Q39" s="24">
        <v>-5.5649339999999999E-2</v>
      </c>
      <c r="R39" s="24">
        <v>-5.9142109999999999E-3</v>
      </c>
      <c r="S39" s="24">
        <v>-7.6387525000000001E-3</v>
      </c>
      <c r="T39" s="24">
        <v>-1.9058287E-2</v>
      </c>
      <c r="U39" s="24">
        <v>-3.139931E-2</v>
      </c>
      <c r="V39" s="24">
        <v>-1.7706573E-2</v>
      </c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</row>
    <row r="40" spans="1:38" x14ac:dyDescent="0.35">
      <c r="A40" s="2">
        <v>42997</v>
      </c>
      <c r="B40" s="24">
        <v>4.2580010000000001E-2</v>
      </c>
      <c r="C40" s="24">
        <v>6.0160159999999997E-2</v>
      </c>
      <c r="D40" s="24">
        <v>-7.3772669999999999E-4</v>
      </c>
      <c r="E40" s="24">
        <v>3.7910699999999999E-2</v>
      </c>
      <c r="F40" s="24">
        <v>7.5924515999999997E-2</v>
      </c>
      <c r="G40" s="24">
        <v>5.500555E-2</v>
      </c>
      <c r="H40" s="24">
        <v>2.8204322E-2</v>
      </c>
      <c r="I40" s="24">
        <v>2.7578591999999999E-2</v>
      </c>
      <c r="J40" s="24">
        <v>-2.1280348000000001E-2</v>
      </c>
      <c r="K40" s="24">
        <v>3.8843632000000003E-2</v>
      </c>
      <c r="L40" s="24">
        <v>0.10325395999999999</v>
      </c>
      <c r="M40" s="24">
        <v>-1.1826574999999999E-2</v>
      </c>
      <c r="N40" s="24">
        <v>-7.6550426000000005E-2</v>
      </c>
      <c r="O40" s="24">
        <v>2.6112795000000001E-2</v>
      </c>
      <c r="P40" s="24">
        <v>7.8934072999999993E-2</v>
      </c>
      <c r="Q40" s="24">
        <v>-7.0238056000000007E-2</v>
      </c>
      <c r="R40" s="24">
        <v>6.7703724000000007E-2</v>
      </c>
      <c r="S40" s="24">
        <v>-1.3357401E-2</v>
      </c>
      <c r="T40" s="24">
        <v>1.0857224E-2</v>
      </c>
      <c r="U40" s="24">
        <v>5.919659E-2</v>
      </c>
      <c r="V40" s="24">
        <v>3.0156016000000001E-2</v>
      </c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</row>
    <row r="41" spans="1:38" x14ac:dyDescent="0.35">
      <c r="A41" s="2">
        <v>43027</v>
      </c>
      <c r="B41" s="24">
        <v>1.5311241E-2</v>
      </c>
      <c r="C41" s="24">
        <v>4.3478250000000003E-2</v>
      </c>
      <c r="D41" s="24">
        <v>-1.8087863999999999E-2</v>
      </c>
      <c r="E41" s="24">
        <v>1.5422106E-2</v>
      </c>
      <c r="F41" s="24">
        <v>-1.3162732E-2</v>
      </c>
      <c r="G41" s="24">
        <v>7.7945710000000001E-2</v>
      </c>
      <c r="H41" s="24">
        <v>-2.072537E-2</v>
      </c>
      <c r="I41" s="24">
        <v>1.3687610999999999E-2</v>
      </c>
      <c r="J41" s="24">
        <v>-5.5525599999999994E-2</v>
      </c>
      <c r="K41" s="24">
        <v>2.7971982999999999E-2</v>
      </c>
      <c r="L41" s="24">
        <v>-1.3005137E-2</v>
      </c>
      <c r="M41" s="24">
        <v>2.1941543000000001E-2</v>
      </c>
      <c r="N41" s="24">
        <v>-1.7838478000000001E-2</v>
      </c>
      <c r="O41" s="24">
        <v>-1.098907E-2</v>
      </c>
      <c r="P41" s="24">
        <v>1.0096312000000001E-2</v>
      </c>
      <c r="Q41" s="24">
        <v>-3.8412272999999997E-2</v>
      </c>
      <c r="R41" s="24">
        <v>6.4810514E-3</v>
      </c>
      <c r="S41" s="24">
        <v>-1.6980289999999999E-2</v>
      </c>
      <c r="T41" s="24">
        <v>1.1305809E-2</v>
      </c>
      <c r="U41" s="24">
        <v>3.0605435E-2</v>
      </c>
      <c r="V41" s="24">
        <v>-4.0878115E-2</v>
      </c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</row>
    <row r="42" spans="1:38" x14ac:dyDescent="0.35">
      <c r="A42" s="2">
        <v>43056</v>
      </c>
      <c r="B42" s="24">
        <v>3.1681657000000002E-2</v>
      </c>
      <c r="C42" s="24">
        <v>-2.0931125000000002E-2</v>
      </c>
      <c r="D42" s="24">
        <v>2.0300745999999998E-2</v>
      </c>
      <c r="E42" s="24">
        <v>-1.1191009999999999E-2</v>
      </c>
      <c r="F42" s="24">
        <v>-1.4079273000000002E-2</v>
      </c>
      <c r="G42" s="24">
        <v>-1.3059198999999999E-2</v>
      </c>
      <c r="H42" s="24">
        <v>3.4235716E-3</v>
      </c>
      <c r="I42" s="24">
        <v>0</v>
      </c>
      <c r="J42" s="24">
        <v>-4.3759583999999997E-2</v>
      </c>
      <c r="K42" s="24">
        <v>5.8170200000000005E-2</v>
      </c>
      <c r="L42" s="24">
        <v>-6.2823477000000003E-2</v>
      </c>
      <c r="M42" s="24">
        <v>1.5452147000000001E-2</v>
      </c>
      <c r="N42" s="24">
        <v>-6.7307652999999995E-2</v>
      </c>
      <c r="O42" s="24">
        <v>1.9005774999999999E-2</v>
      </c>
      <c r="P42" s="24">
        <v>3.9058924000000002E-2</v>
      </c>
      <c r="Q42" s="24">
        <v>-0.10324902</v>
      </c>
      <c r="R42" s="24">
        <v>1.5414953E-2</v>
      </c>
      <c r="S42" s="24">
        <v>-7.6563954000000004E-2</v>
      </c>
      <c r="T42" s="24">
        <v>-5.5897180000000005E-2</v>
      </c>
      <c r="U42" s="24">
        <v>8.1342810000000002E-2</v>
      </c>
      <c r="V42" s="24">
        <v>1.1838674500000001E-3</v>
      </c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</row>
    <row r="43" spans="1:38" x14ac:dyDescent="0.35">
      <c r="A43" s="2">
        <v>43088</v>
      </c>
      <c r="B43" s="24">
        <v>-1.4205635000000001E-2</v>
      </c>
      <c r="C43" s="24">
        <v>3.7246942999999998E-2</v>
      </c>
      <c r="D43" s="24">
        <v>7.3641540000000004E-3</v>
      </c>
      <c r="E43" s="24">
        <v>1.3341545999999999E-2</v>
      </c>
      <c r="F43" s="24">
        <v>1.6508221999999999E-2</v>
      </c>
      <c r="G43" s="24">
        <v>-3.8068115999999999E-2</v>
      </c>
      <c r="H43" s="24">
        <v>3.1960250000000003E-2</v>
      </c>
      <c r="I43" s="24">
        <v>-3.8683832000000001E-2</v>
      </c>
      <c r="J43" s="24">
        <v>-5.1998496000000005E-3</v>
      </c>
      <c r="K43" s="24">
        <v>-1.5662013999999998E-2</v>
      </c>
      <c r="L43" s="24">
        <v>-1.7445207000000001E-2</v>
      </c>
      <c r="M43" s="24">
        <v>6.5627217000000002E-2</v>
      </c>
      <c r="N43" s="24">
        <v>0.15349377</v>
      </c>
      <c r="O43" s="24">
        <v>2.6046871999999999E-2</v>
      </c>
      <c r="P43" s="24">
        <v>-2.3742974E-2</v>
      </c>
      <c r="Q43" s="24">
        <v>0.18127525</v>
      </c>
      <c r="R43" s="24">
        <v>1.3414264E-2</v>
      </c>
      <c r="S43" s="24">
        <v>3.9114714000000002E-2</v>
      </c>
      <c r="T43" s="24">
        <v>-1.8918693E-2</v>
      </c>
      <c r="U43" s="24">
        <v>1.2608409000000001E-2</v>
      </c>
      <c r="V43" s="24">
        <v>1.4307022000000001E-2</v>
      </c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</row>
    <row r="44" spans="1:38" x14ac:dyDescent="0.35">
      <c r="A44" s="2">
        <v>43119</v>
      </c>
      <c r="B44" s="24">
        <v>9.4416139999999996E-2</v>
      </c>
      <c r="C44" s="24">
        <v>7.3363422999999997E-2</v>
      </c>
      <c r="D44" s="24">
        <v>8.934462E-2</v>
      </c>
      <c r="E44" s="24">
        <v>5.3485870000000005E-2</v>
      </c>
      <c r="F44" s="24">
        <v>0.10405707</v>
      </c>
      <c r="G44" s="24">
        <v>0.12931717000000001</v>
      </c>
      <c r="H44" s="24">
        <v>0.10163617</v>
      </c>
      <c r="I44" s="24">
        <v>0.100595</v>
      </c>
      <c r="J44" s="24">
        <v>6.041622E-2</v>
      </c>
      <c r="K44" s="24">
        <v>6.6300629999999999E-2</v>
      </c>
      <c r="L44" s="24">
        <v>0.14845478000000001</v>
      </c>
      <c r="M44" s="24">
        <v>8.9819429999999992E-2</v>
      </c>
      <c r="N44" s="24">
        <v>0.11064921999999999</v>
      </c>
      <c r="O44" s="24">
        <v>5.4663299999999998E-2</v>
      </c>
      <c r="P44" s="24">
        <v>0.12714982</v>
      </c>
      <c r="Q44" s="24">
        <v>9.3651769999999995E-2</v>
      </c>
      <c r="R44" s="24">
        <v>5.1393747000000004E-2</v>
      </c>
      <c r="S44" s="24">
        <v>6.5381764999999994E-2</v>
      </c>
      <c r="T44" s="24">
        <v>9.7753525000000008E-2</v>
      </c>
      <c r="U44" s="24">
        <v>0.12834239</v>
      </c>
      <c r="V44" s="24">
        <v>7.1681739999999994E-2</v>
      </c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</row>
    <row r="45" spans="1:38" x14ac:dyDescent="0.35">
      <c r="A45" s="2">
        <v>43147</v>
      </c>
      <c r="B45" s="24">
        <v>-3.5685778000000001E-2</v>
      </c>
      <c r="C45" s="24">
        <v>-1.9579588999999998E-2</v>
      </c>
      <c r="D45" s="24">
        <v>1.2100816E-2</v>
      </c>
      <c r="E45" s="24">
        <v>-6.0368776000000006E-2</v>
      </c>
      <c r="F45" s="24">
        <v>-5.9884310000000003E-2</v>
      </c>
      <c r="G45" s="24">
        <v>-3.4950554000000002E-2</v>
      </c>
      <c r="H45" s="24">
        <v>1.5995501999999998E-2</v>
      </c>
      <c r="I45" s="24">
        <v>-2.7033985E-2</v>
      </c>
      <c r="J45" s="24">
        <v>-7.2408914999999999E-3</v>
      </c>
      <c r="K45" s="24">
        <v>-2.4974286999999998E-2</v>
      </c>
      <c r="L45" s="24">
        <v>2.4061203E-2</v>
      </c>
      <c r="M45" s="24">
        <v>3.3690690000000002E-2</v>
      </c>
      <c r="N45" s="24">
        <v>-8.2191825E-3</v>
      </c>
      <c r="O45" s="24">
        <v>-5.9043526999999998E-2</v>
      </c>
      <c r="P45" s="24">
        <v>-2.9427826000000001E-2</v>
      </c>
      <c r="Q45" s="24">
        <v>-5.057466E-2</v>
      </c>
      <c r="R45" s="24">
        <v>-6.4073204999999999E-3</v>
      </c>
      <c r="S45" s="24">
        <v>2.9539704000000003E-2</v>
      </c>
      <c r="T45" s="24">
        <v>-6.1393857000000003E-2</v>
      </c>
      <c r="U45" s="24">
        <v>-2.1119714E-3</v>
      </c>
      <c r="V45" s="24">
        <v>1.2127995000000001E-2</v>
      </c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</row>
    <row r="46" spans="1:38" x14ac:dyDescent="0.35">
      <c r="A46" s="2">
        <v>43178</v>
      </c>
      <c r="B46" s="24">
        <v>-7.5369479999999999E-3</v>
      </c>
      <c r="C46" s="24">
        <v>-3.8292408E-2</v>
      </c>
      <c r="D46" s="24">
        <v>-9.6313530000000008E-2</v>
      </c>
      <c r="E46" s="24">
        <v>-5.6451679999999997E-2</v>
      </c>
      <c r="F46" s="24">
        <v>-8.2518939999999999E-2</v>
      </c>
      <c r="G46" s="24">
        <v>-1.7155111000000001E-2</v>
      </c>
      <c r="H46" s="24">
        <v>-1.5743613E-2</v>
      </c>
      <c r="I46" s="24">
        <v>1.1643289999999999E-2</v>
      </c>
      <c r="J46" s="24">
        <v>-4.3761970000000004E-2</v>
      </c>
      <c r="K46" s="24">
        <v>-1.1750697999999999E-2</v>
      </c>
      <c r="L46" s="24">
        <v>-2.9424667000000002E-2</v>
      </c>
      <c r="M46" s="24">
        <v>-5.8316526E-2</v>
      </c>
      <c r="N46" s="24">
        <v>-8.1031270000000002E-2</v>
      </c>
      <c r="O46" s="24">
        <v>-5.2527009999999999E-2</v>
      </c>
      <c r="P46" s="24">
        <v>4.6322346E-3</v>
      </c>
      <c r="Q46" s="24">
        <v>9.0799330000000001E-3</v>
      </c>
      <c r="R46" s="24">
        <v>-5.4595470000000004E-3</v>
      </c>
      <c r="S46" s="24">
        <v>-6.6614747000000002E-2</v>
      </c>
      <c r="T46" s="24">
        <v>-3.1231523000000001E-2</v>
      </c>
      <c r="U46" s="24">
        <v>1.3756633000000001E-2</v>
      </c>
      <c r="V46" s="24">
        <v>2.4328232000000002E-2</v>
      </c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</row>
    <row r="47" spans="1:38" x14ac:dyDescent="0.35">
      <c r="A47" s="2">
        <v>43209</v>
      </c>
      <c r="B47" s="24">
        <v>-4.7949552999999999E-2</v>
      </c>
      <c r="C47" s="24">
        <v>5.6582212E-2</v>
      </c>
      <c r="D47" s="24">
        <v>3.6751031999999999E-3</v>
      </c>
      <c r="E47" s="24">
        <v>-5.8404564999999999E-2</v>
      </c>
      <c r="F47" s="24">
        <v>4.1420100000000001E-2</v>
      </c>
      <c r="G47" s="24">
        <v>8.9696999999999999E-2</v>
      </c>
      <c r="H47" s="24">
        <v>3.8274765000000002E-2</v>
      </c>
      <c r="I47" s="24">
        <v>-2.1710633999999999E-2</v>
      </c>
      <c r="J47" s="24">
        <v>5.4395794999999997E-2</v>
      </c>
      <c r="K47" s="24">
        <v>7.2144269999999998E-3</v>
      </c>
      <c r="L47" s="24">
        <v>-1.357472E-2</v>
      </c>
      <c r="M47" s="24">
        <v>-8.581221E-3</v>
      </c>
      <c r="N47" s="24">
        <v>8.1162339999999999E-2</v>
      </c>
      <c r="O47" s="24">
        <v>3.4761785999999996E-2</v>
      </c>
      <c r="P47" s="24">
        <v>-5.3374290000000005E-2</v>
      </c>
      <c r="Q47" s="24">
        <v>3.2993317000000001E-2</v>
      </c>
      <c r="R47" s="24">
        <v>-2.6947855999999997E-3</v>
      </c>
      <c r="S47" s="24">
        <v>-4.1105629999999997E-2</v>
      </c>
      <c r="T47" s="24">
        <v>6.7517760000000001E-3</v>
      </c>
      <c r="U47" s="24">
        <v>-3.4968674000000005E-2</v>
      </c>
      <c r="V47" s="24">
        <v>9.7837689999999991E-2</v>
      </c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</row>
    <row r="48" spans="1:38" x14ac:dyDescent="0.35">
      <c r="A48" s="2">
        <v>43238</v>
      </c>
      <c r="B48" s="24">
        <v>1.0162234000000001E-2</v>
      </c>
      <c r="C48" s="24">
        <v>-6.8517865999999997E-2</v>
      </c>
      <c r="D48" s="24">
        <v>-0.13365067</v>
      </c>
      <c r="E48" s="24">
        <v>-4.2359829999999996E-3</v>
      </c>
      <c r="F48" s="24">
        <v>-0.11325758999999999</v>
      </c>
      <c r="G48" s="24">
        <v>-5.40601E-2</v>
      </c>
      <c r="H48" s="24">
        <v>-5.4745492999999999E-2</v>
      </c>
      <c r="I48" s="24">
        <v>-1.9251347000000002E-2</v>
      </c>
      <c r="J48" s="24">
        <v>-0.13287645000000001</v>
      </c>
      <c r="K48" s="24">
        <v>-3.1834482999999997E-2</v>
      </c>
      <c r="L48" s="24">
        <v>-0.12155962000000001</v>
      </c>
      <c r="M48" s="24">
        <v>-9.0161560000000002E-2</v>
      </c>
      <c r="N48" s="24">
        <v>-0.12974971999999999</v>
      </c>
      <c r="O48" s="24">
        <v>-4.6336469999999998E-2</v>
      </c>
      <c r="P48" s="24">
        <v>2.0811915E-2</v>
      </c>
      <c r="Q48" s="24">
        <v>-3.3101022000000001E-2</v>
      </c>
      <c r="R48" s="24">
        <v>-2.2713779999999999E-2</v>
      </c>
      <c r="S48" s="24">
        <v>-0.17122274000000001</v>
      </c>
      <c r="T48" s="24">
        <v>-3.5719929999999997E-2</v>
      </c>
      <c r="U48" s="24">
        <v>-5.2460729999999997E-2</v>
      </c>
      <c r="V48" s="24">
        <v>-2.9383241999999997E-2</v>
      </c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</row>
    <row r="49" spans="1:38" x14ac:dyDescent="0.35">
      <c r="A49" s="2">
        <v>43270</v>
      </c>
      <c r="B49" s="24">
        <v>-7.0904729999999999E-2</v>
      </c>
      <c r="C49" s="24">
        <v>-5.9807180000000001E-2</v>
      </c>
      <c r="D49" s="24">
        <v>2.5630593E-2</v>
      </c>
      <c r="E49" s="24">
        <v>-6.1008810000000004E-2</v>
      </c>
      <c r="F49" s="24">
        <v>-6.5877080000000005E-2</v>
      </c>
      <c r="G49" s="24">
        <v>-4.0345430000000002E-2</v>
      </c>
      <c r="H49" s="24">
        <v>-5.776179E-2</v>
      </c>
      <c r="I49" s="24">
        <v>-1.7175614999999998E-2</v>
      </c>
      <c r="J49" s="24">
        <v>-1.2647033E-2</v>
      </c>
      <c r="K49" s="24">
        <v>-7.0146502999999999E-2</v>
      </c>
      <c r="L49" s="24">
        <v>-0.13182938</v>
      </c>
      <c r="M49" s="24">
        <v>-0.10468804999999999</v>
      </c>
      <c r="N49" s="24">
        <v>-1.5974462000000002E-2</v>
      </c>
      <c r="O49" s="24">
        <v>1.4918447E-2</v>
      </c>
      <c r="P49" s="24">
        <v>-1.3947606E-2</v>
      </c>
      <c r="Q49" s="24">
        <v>2.0793675999999997E-2</v>
      </c>
      <c r="R49" s="24">
        <v>-6.5347137E-2</v>
      </c>
      <c r="S49" s="24">
        <v>-0.11127281</v>
      </c>
      <c r="T49" s="24">
        <v>2.5826693000000001E-2</v>
      </c>
      <c r="U49" s="24">
        <v>-8.2762600000000006E-2</v>
      </c>
      <c r="V49" s="24">
        <v>2.0362496000000001E-2</v>
      </c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</row>
    <row r="50" spans="1:38" x14ac:dyDescent="0.35">
      <c r="A50" s="2">
        <v>43300</v>
      </c>
      <c r="B50" s="24">
        <v>-9.6757650000000001E-2</v>
      </c>
      <c r="C50" s="24">
        <v>-3.6516308999999997E-2</v>
      </c>
      <c r="D50" s="24">
        <v>-2.8127610000000001E-2</v>
      </c>
      <c r="E50" s="24">
        <v>4.2234660000000004E-3</v>
      </c>
      <c r="F50" s="24">
        <v>2.1967888000000001E-2</v>
      </c>
      <c r="G50" s="24">
        <v>-3.2162250000000003E-2</v>
      </c>
      <c r="H50" s="24">
        <v>9.4518659999999997E-3</v>
      </c>
      <c r="I50" s="24">
        <v>1.6920924E-2</v>
      </c>
      <c r="J50" s="24">
        <v>0.12837828000000001</v>
      </c>
      <c r="K50" s="24">
        <v>-3.8455903999999999E-2</v>
      </c>
      <c r="L50" s="24">
        <v>5.4400919999999998E-2</v>
      </c>
      <c r="M50" s="24">
        <v>3.6144494999999999E-2</v>
      </c>
      <c r="N50" s="24">
        <v>8.6580514999999997E-3</v>
      </c>
      <c r="O50" s="24">
        <v>1.0037422000000001E-2</v>
      </c>
      <c r="P50" s="24">
        <v>-7.4101330000000007E-2</v>
      </c>
      <c r="Q50" s="24">
        <v>4.2742967999999999E-2</v>
      </c>
      <c r="R50" s="24">
        <v>4.4829845000000004E-3</v>
      </c>
      <c r="S50" s="24">
        <v>-4.0041739999999999E-2</v>
      </c>
      <c r="T50" s="24">
        <v>4.8521757E-3</v>
      </c>
      <c r="U50" s="24">
        <v>-8.0896019999999996E-3</v>
      </c>
      <c r="V50" s="24">
        <v>3.8170456999999998E-2</v>
      </c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</row>
    <row r="51" spans="1:38" x14ac:dyDescent="0.35">
      <c r="A51" s="2">
        <v>43329</v>
      </c>
      <c r="B51" s="24">
        <v>-3.9059162000000001E-2</v>
      </c>
      <c r="C51" s="24">
        <v>-3.9860546999999996E-2</v>
      </c>
      <c r="D51" s="24">
        <v>-1.2526928999999999E-2</v>
      </c>
      <c r="E51" s="24">
        <v>3.3646107000000001E-2</v>
      </c>
      <c r="F51" s="24">
        <v>2.7765392999999999E-2</v>
      </c>
      <c r="G51" s="24">
        <v>-4.9846649999999999E-2</v>
      </c>
      <c r="H51" s="24">
        <v>9.9874734999999999E-3</v>
      </c>
      <c r="I51" s="24">
        <v>-3.5461186999999998E-3</v>
      </c>
      <c r="J51" s="24">
        <v>-5.7883859999999995E-3</v>
      </c>
      <c r="K51" s="24">
        <v>-9.6537470000000007E-3</v>
      </c>
      <c r="L51" s="24">
        <v>-3.5362363000000001E-2</v>
      </c>
      <c r="M51" s="24">
        <v>-7.7577170000000001E-2</v>
      </c>
      <c r="N51" s="24">
        <v>-8.6909769999999997E-2</v>
      </c>
      <c r="O51" s="24">
        <v>4.9243569999999993E-2</v>
      </c>
      <c r="P51" s="24">
        <v>-5.1869509999999994E-2</v>
      </c>
      <c r="Q51" s="24">
        <v>1.6219378E-2</v>
      </c>
      <c r="R51" s="24">
        <v>2.6200890000000001E-2</v>
      </c>
      <c r="S51" s="24">
        <v>-0.22923469999999999</v>
      </c>
      <c r="T51" s="24">
        <v>-8.8769794000000003E-3</v>
      </c>
      <c r="U51" s="24">
        <v>2.8858185000000001E-2</v>
      </c>
      <c r="V51" s="24">
        <v>-6.6560984000000004E-2</v>
      </c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</row>
    <row r="52" spans="1:38" x14ac:dyDescent="0.35">
      <c r="A52" s="2">
        <v>43362</v>
      </c>
      <c r="B52" s="24">
        <v>1.5480994999999999E-2</v>
      </c>
      <c r="C52" s="24">
        <v>3.2894610999999997E-2</v>
      </c>
      <c r="D52" s="24">
        <v>-3.4995675E-3</v>
      </c>
      <c r="E52" s="24">
        <v>-4.9452249999999996E-2</v>
      </c>
      <c r="F52" s="24">
        <v>3.1372547000000001E-2</v>
      </c>
      <c r="G52" s="24">
        <v>-2.2598742999999998E-2</v>
      </c>
      <c r="H52" s="24">
        <v>7.7255963999999996E-3</v>
      </c>
      <c r="I52" s="24">
        <v>1.5329957E-2</v>
      </c>
      <c r="J52" s="24">
        <v>3.0315159999999997E-2</v>
      </c>
      <c r="K52" s="24">
        <v>3.0481220000000003E-2</v>
      </c>
      <c r="L52" s="24">
        <v>-2.253604E-2</v>
      </c>
      <c r="M52" s="24">
        <v>-6.3970090000000004E-3</v>
      </c>
      <c r="N52" s="24">
        <v>-1.8801391000000001E-2</v>
      </c>
      <c r="O52" s="24">
        <v>-3.7885249000000003E-2</v>
      </c>
      <c r="P52" s="24">
        <v>-3.0206441999999999E-3</v>
      </c>
      <c r="Q52" s="24">
        <v>2.7858377E-2</v>
      </c>
      <c r="R52" s="24">
        <v>3.5360098E-2</v>
      </c>
      <c r="S52" s="24">
        <v>5.2705884000000001E-2</v>
      </c>
      <c r="T52" s="24">
        <v>-2.6248395000000001E-2</v>
      </c>
      <c r="U52" s="24">
        <v>2.4999976E-2</v>
      </c>
      <c r="V52" s="24">
        <v>-2.3090004999999997E-2</v>
      </c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</row>
    <row r="53" spans="1:38" x14ac:dyDescent="0.35">
      <c r="A53" s="2">
        <v>43392</v>
      </c>
      <c r="B53" s="24">
        <v>-7.0993239999999999E-2</v>
      </c>
      <c r="C53" s="24">
        <v>-6.7208409999999996E-2</v>
      </c>
      <c r="D53" s="24">
        <v>-4.6532096999999994E-2</v>
      </c>
      <c r="E53" s="24">
        <v>-1.8110037000000002E-2</v>
      </c>
      <c r="F53" s="24">
        <v>-4.8162219999999999E-2</v>
      </c>
      <c r="G53" s="24">
        <v>-1.4863789000000001E-2</v>
      </c>
      <c r="H53" s="24">
        <v>-5.734438E-2</v>
      </c>
      <c r="I53" s="24">
        <v>-9.7330810000000004E-2</v>
      </c>
      <c r="J53" s="24">
        <v>-7.1901739999999992E-2</v>
      </c>
      <c r="K53" s="24">
        <v>-7.7177167000000005E-2</v>
      </c>
      <c r="L53" s="24">
        <v>0.19735634000000002</v>
      </c>
      <c r="M53" s="24">
        <v>-6.3435019999999995E-2</v>
      </c>
      <c r="N53" s="24">
        <v>-9.9401360000000008E-2</v>
      </c>
      <c r="O53" s="24">
        <v>-0.12224502</v>
      </c>
      <c r="P53" s="24">
        <v>-9.8636630000000003E-2</v>
      </c>
      <c r="Q53" s="24">
        <v>2.3150919999999998E-2</v>
      </c>
      <c r="R53" s="24">
        <v>-4.679966E-2</v>
      </c>
      <c r="S53" s="24">
        <v>0.10192214999999999</v>
      </c>
      <c r="T53" s="24">
        <v>-1.8408895000000002E-2</v>
      </c>
      <c r="U53" s="24">
        <v>-7.2575808000000006E-2</v>
      </c>
      <c r="V53" s="24">
        <v>-1.7031609999999999E-2</v>
      </c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</row>
    <row r="54" spans="1:38" x14ac:dyDescent="0.35">
      <c r="A54" s="2">
        <v>43423</v>
      </c>
      <c r="B54" s="24">
        <v>4.286504E-2</v>
      </c>
      <c r="C54" s="24">
        <v>3.0845284000000001E-2</v>
      </c>
      <c r="D54" s="24">
        <v>0.10497235999999999</v>
      </c>
      <c r="E54" s="24">
        <v>2.8169035999999998E-2</v>
      </c>
      <c r="F54" s="24">
        <v>-1.420337E-2</v>
      </c>
      <c r="G54" s="24">
        <v>4.4704675999999999E-3</v>
      </c>
      <c r="H54" s="24">
        <v>-1.2687027E-2</v>
      </c>
      <c r="I54" s="24">
        <v>-1.9115864999999999E-2</v>
      </c>
      <c r="J54" s="24">
        <v>-0.13541888999999999</v>
      </c>
      <c r="K54" s="24">
        <v>-2.4568796E-2</v>
      </c>
      <c r="L54" s="24">
        <v>2.4646997E-2</v>
      </c>
      <c r="M54" s="24">
        <v>5.7824492000000005E-2</v>
      </c>
      <c r="N54" s="24">
        <v>-2.3936093000000002E-2</v>
      </c>
      <c r="O54" s="24">
        <v>8.4700349999999994E-2</v>
      </c>
      <c r="P54" s="24">
        <v>3.1746030000000001E-2</v>
      </c>
      <c r="Q54" s="24">
        <v>4.3046236000000002E-2</v>
      </c>
      <c r="R54" s="24">
        <v>-1.8843948999999999E-2</v>
      </c>
      <c r="S54" s="24">
        <v>3.5699844000000001E-2</v>
      </c>
      <c r="T54" s="24">
        <v>6.0281753999999995E-3</v>
      </c>
      <c r="U54" s="24">
        <v>-3.8486242000000004E-2</v>
      </c>
      <c r="V54" s="24">
        <v>-1.4144778E-3</v>
      </c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</row>
    <row r="55" spans="1:38" x14ac:dyDescent="0.35">
      <c r="A55" s="2">
        <v>43453</v>
      </c>
      <c r="B55" s="24">
        <v>-4.9996614000000002E-2</v>
      </c>
      <c r="C55" s="24">
        <v>-5.0691185E-2</v>
      </c>
      <c r="D55" s="24">
        <v>2.2372245999999998E-2</v>
      </c>
      <c r="E55" s="24">
        <v>2.1543621999999998E-2</v>
      </c>
      <c r="F55" s="24">
        <v>6.0808179999999996E-2</v>
      </c>
      <c r="G55" s="24">
        <v>-2.5705159000000002E-2</v>
      </c>
      <c r="H55" s="24">
        <v>-4.5016470000000003E-2</v>
      </c>
      <c r="I55" s="24">
        <v>-2.0629168E-2</v>
      </c>
      <c r="J55" s="24">
        <v>-1.6683041999999999E-2</v>
      </c>
      <c r="K55" s="24">
        <v>-2.3839055999999997E-2</v>
      </c>
      <c r="L55" s="24">
        <v>-6.157178E-2</v>
      </c>
      <c r="M55" s="24">
        <v>-5.4353895000000006E-2</v>
      </c>
      <c r="N55" s="24">
        <v>-2.5885582000000001E-2</v>
      </c>
      <c r="O55" s="24">
        <v>1.9429564E-2</v>
      </c>
      <c r="P55" s="24">
        <v>-4.0653047999999997E-2</v>
      </c>
      <c r="Q55" s="24">
        <v>1.0118008000000001E-2</v>
      </c>
      <c r="R55" s="24">
        <v>-2.1607340000000003E-2</v>
      </c>
      <c r="S55" s="24">
        <v>-3.3046304999999998E-2</v>
      </c>
      <c r="T55" s="24">
        <v>-7.8352093999999997E-2</v>
      </c>
      <c r="U55" s="24">
        <v>-4.0026306999999999E-3</v>
      </c>
      <c r="V55" s="24">
        <v>3.0639052000000003E-2</v>
      </c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</row>
    <row r="56" spans="1:38" x14ac:dyDescent="0.35">
      <c r="A56" s="2">
        <v>43483</v>
      </c>
      <c r="B56" s="24">
        <v>6.1726093000000003E-2</v>
      </c>
      <c r="C56" s="24">
        <v>0.1057831</v>
      </c>
      <c r="D56" s="24">
        <v>0.10412418000000001</v>
      </c>
      <c r="E56" s="24">
        <v>0.11373806</v>
      </c>
      <c r="F56" s="24">
        <v>3.2258034000000005E-2</v>
      </c>
      <c r="G56" s="24">
        <v>4.9612879999999998E-2</v>
      </c>
      <c r="H56" s="24">
        <v>7.1629286E-2</v>
      </c>
      <c r="I56" s="24">
        <v>3.6561847000000001E-2</v>
      </c>
      <c r="J56" s="24">
        <v>0.12337982</v>
      </c>
      <c r="K56" s="24">
        <v>6.4253569999999996E-2</v>
      </c>
      <c r="L56" s="24">
        <v>0.17104912</v>
      </c>
      <c r="M56" s="24">
        <v>0.13132358</v>
      </c>
      <c r="N56" s="24">
        <v>1.0178924000000001E-2</v>
      </c>
      <c r="O56" s="24">
        <v>-1.4269352000000001E-4</v>
      </c>
      <c r="P56" s="24">
        <v>8.8778860000000001E-2</v>
      </c>
      <c r="Q56" s="24">
        <v>4.2171954999999997E-2</v>
      </c>
      <c r="R56" s="24">
        <v>-1.0836124000000001E-2</v>
      </c>
      <c r="S56" s="24">
        <v>9.4270590000000001E-2</v>
      </c>
      <c r="T56" s="24">
        <v>2.3965119999999999E-2</v>
      </c>
      <c r="U56" s="24">
        <v>4.4624449999999996E-2</v>
      </c>
      <c r="V56" s="24">
        <v>0.11789322000000001</v>
      </c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</row>
    <row r="57" spans="1:38" x14ac:dyDescent="0.35">
      <c r="A57" s="2">
        <v>43515</v>
      </c>
      <c r="B57" s="24">
        <v>8.4322569999999999E-2</v>
      </c>
      <c r="C57" s="24">
        <v>4.3582915999999996E-3</v>
      </c>
      <c r="D57" s="24">
        <v>-1.0724902000000001E-2</v>
      </c>
      <c r="E57" s="24">
        <v>-2.0367145999999999E-2</v>
      </c>
      <c r="F57" s="24">
        <v>-3.2083332999999999E-2</v>
      </c>
      <c r="G57" s="24">
        <v>5.2732229999999998E-2</v>
      </c>
      <c r="H57" s="24">
        <v>1.5072107E-2</v>
      </c>
      <c r="I57" s="24">
        <v>2.3824214999999999E-2</v>
      </c>
      <c r="J57" s="24">
        <v>-2.4628340999999998E-2</v>
      </c>
      <c r="K57" s="24">
        <v>3.5801529999999998E-2</v>
      </c>
      <c r="L57" s="24">
        <v>2.1990776E-2</v>
      </c>
      <c r="M57" s="24">
        <v>-1.6791403E-2</v>
      </c>
      <c r="N57" s="24">
        <v>7.8014134999999998E-2</v>
      </c>
      <c r="O57" s="24">
        <v>-3.3882737000000003E-2</v>
      </c>
      <c r="P57" s="24">
        <v>4.1819810000000006E-2</v>
      </c>
      <c r="Q57" s="24">
        <v>-9.914017E-2</v>
      </c>
      <c r="R57" s="24">
        <v>3.2795072000000001E-2</v>
      </c>
      <c r="S57" s="24">
        <v>3.0449271000000003E-2</v>
      </c>
      <c r="T57" s="24">
        <v>-1.1347592E-2</v>
      </c>
      <c r="U57" s="24">
        <v>7.4983715999999992E-2</v>
      </c>
      <c r="V57" s="24">
        <v>-6.2406062999999993E-4</v>
      </c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</row>
    <row r="58" spans="1:38" x14ac:dyDescent="0.35">
      <c r="A58" s="2">
        <v>43543</v>
      </c>
      <c r="B58" s="24">
        <v>0.10494529999999999</v>
      </c>
      <c r="C58" s="24">
        <v>-3.0483782000000001E-2</v>
      </c>
      <c r="D58" s="24">
        <v>-2.2056103000000001E-2</v>
      </c>
      <c r="E58" s="24">
        <v>-3.2210946000000001E-3</v>
      </c>
      <c r="F58" s="24">
        <v>2.2815347E-2</v>
      </c>
      <c r="G58" s="24">
        <v>2.6472926000000001E-2</v>
      </c>
      <c r="H58" s="24">
        <v>-4.8418044999999996E-3</v>
      </c>
      <c r="I58" s="24">
        <v>3.5055876E-2</v>
      </c>
      <c r="J58" s="24">
        <v>-3.1846762000000001E-3</v>
      </c>
      <c r="K58" s="24">
        <v>-2.5137483999999998E-2</v>
      </c>
      <c r="L58" s="24">
        <v>4.5299529999999998E-3</v>
      </c>
      <c r="M58" s="24">
        <v>-1.9305705999999999E-2</v>
      </c>
      <c r="N58" s="24">
        <v>5.6578994000000001E-2</v>
      </c>
      <c r="O58" s="24">
        <v>0.11816739999999999</v>
      </c>
      <c r="P58" s="24">
        <v>5.5928706999999994E-2</v>
      </c>
      <c r="Q58" s="24">
        <v>1.1791229E-2</v>
      </c>
      <c r="R58" s="24">
        <v>-3.4357904999999999E-3</v>
      </c>
      <c r="S58" s="24">
        <v>-1.3333379999999999E-2</v>
      </c>
      <c r="T58" s="24">
        <v>4.1606903000000001E-2</v>
      </c>
      <c r="U58" s="24">
        <v>2.6458262999999999E-2</v>
      </c>
      <c r="V58" s="24">
        <v>1.2176036999999999E-2</v>
      </c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</row>
    <row r="59" spans="1:38" x14ac:dyDescent="0.35">
      <c r="A59" s="2">
        <v>43573</v>
      </c>
      <c r="B59" s="24">
        <v>6.7646026999999997E-2</v>
      </c>
      <c r="C59" s="24">
        <v>-5.4829119999999995E-3</v>
      </c>
      <c r="D59" s="24">
        <v>1.9495367999999999E-2</v>
      </c>
      <c r="E59" s="24">
        <v>1.8507599999999999E-2</v>
      </c>
      <c r="F59" s="24">
        <v>-7.1548820000000004E-3</v>
      </c>
      <c r="G59" s="24">
        <v>-2.5537252E-2</v>
      </c>
      <c r="H59" s="24">
        <v>-5.3519306000000003E-2</v>
      </c>
      <c r="I59" s="24">
        <v>5.5182456999999997E-2</v>
      </c>
      <c r="J59" s="24">
        <v>7.5536370000000005E-2</v>
      </c>
      <c r="K59" s="24">
        <v>1.9983888000000002E-2</v>
      </c>
      <c r="L59" s="24">
        <v>-8.771139E-2</v>
      </c>
      <c r="M59" s="24">
        <v>0.10107887</v>
      </c>
      <c r="N59" s="24">
        <v>7.3474407000000005E-2</v>
      </c>
      <c r="O59" s="24">
        <v>1.1302710000000001E-2</v>
      </c>
      <c r="P59" s="24">
        <v>3.2129764999999998E-2</v>
      </c>
      <c r="Q59" s="24">
        <v>5.1564930000000002E-2</v>
      </c>
      <c r="R59" s="24">
        <v>2.6998519999999998E-2</v>
      </c>
      <c r="S59" s="24">
        <v>-0.11760407</v>
      </c>
      <c r="T59" s="24">
        <v>6.6797494999999998E-2</v>
      </c>
      <c r="U59" s="24">
        <v>-2.2847056000000001E-2</v>
      </c>
      <c r="V59" s="24">
        <v>7.6496123999999999E-2</v>
      </c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</row>
    <row r="60" spans="1:38" x14ac:dyDescent="0.35">
      <c r="A60" s="2">
        <v>43602</v>
      </c>
      <c r="B60" s="24">
        <v>-0.13952005000000001</v>
      </c>
      <c r="C60" s="24">
        <v>-0.10688567</v>
      </c>
      <c r="D60" s="24">
        <v>-0.16160477000000001</v>
      </c>
      <c r="E60" s="24">
        <v>-6.3455342999999997E-2</v>
      </c>
      <c r="F60" s="24">
        <v>-9.5803319999999997E-2</v>
      </c>
      <c r="G60" s="24">
        <v>-7.4727591999999995E-2</v>
      </c>
      <c r="H60" s="24">
        <v>-2.5702536000000002E-2</v>
      </c>
      <c r="I60" s="24">
        <v>-8.384061000000001E-2</v>
      </c>
      <c r="J60" s="24">
        <v>-6.1531963000000002E-2</v>
      </c>
      <c r="K60" s="24">
        <v>-0.12671827999999999</v>
      </c>
      <c r="L60" s="24">
        <v>-8.5763640000000002E-2</v>
      </c>
      <c r="M60" s="24">
        <v>-8.3891980000000005E-2</v>
      </c>
      <c r="N60" s="24">
        <v>-8.8167080000000009E-2</v>
      </c>
      <c r="O60" s="24">
        <v>-5.7837367000000001E-2</v>
      </c>
      <c r="P60" s="24">
        <v>-0.11111111</v>
      </c>
      <c r="Q60" s="24">
        <v>-7.0673109999999997E-2</v>
      </c>
      <c r="R60" s="24">
        <v>-3.9418160000000001E-2</v>
      </c>
      <c r="S60" s="24">
        <v>-0.13990063</v>
      </c>
      <c r="T60" s="24">
        <v>-0.11232476999999999</v>
      </c>
      <c r="U60" s="24">
        <v>-1.5587568000000001E-2</v>
      </c>
      <c r="V60" s="24">
        <v>-6.5902653000000005E-2</v>
      </c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</row>
    <row r="61" spans="1:38" x14ac:dyDescent="0.35">
      <c r="A61" s="2">
        <v>43635</v>
      </c>
      <c r="B61" s="24">
        <v>3.2609819999999998E-2</v>
      </c>
      <c r="C61" s="24">
        <v>1.9931078000000001E-2</v>
      </c>
      <c r="D61" s="24">
        <v>0.16767956000000001</v>
      </c>
      <c r="E61" s="24">
        <v>9.3131540000000013E-2</v>
      </c>
      <c r="F61" s="24">
        <v>9.2877029999999999E-2</v>
      </c>
      <c r="G61" s="24">
        <v>2.4702668000000001E-2</v>
      </c>
      <c r="H61" s="24">
        <v>5.4844619999999997E-2</v>
      </c>
      <c r="I61" s="24">
        <v>4.8323749999999999E-2</v>
      </c>
      <c r="J61" s="24">
        <v>1.5767694000000002E-2</v>
      </c>
      <c r="K61" s="24">
        <v>6.2059045E-2</v>
      </c>
      <c r="L61" s="24">
        <v>0.18549347000000002</v>
      </c>
      <c r="M61" s="24">
        <v>5.5632352999999996E-2</v>
      </c>
      <c r="N61" s="24">
        <v>0.17811716</v>
      </c>
      <c r="O61" s="24">
        <v>4.0261984000000001E-2</v>
      </c>
      <c r="P61" s="24">
        <v>1.8399835E-2</v>
      </c>
      <c r="Q61" s="24">
        <v>4.5335770000000004E-2</v>
      </c>
      <c r="R61" s="24">
        <v>6.0860276000000005E-2</v>
      </c>
      <c r="S61" s="24">
        <v>0.16499317000000002</v>
      </c>
      <c r="T61" s="24">
        <v>4.5672654999999998E-3</v>
      </c>
      <c r="U61" s="24">
        <v>-6.6992043999999995E-3</v>
      </c>
      <c r="V61" s="24">
        <v>5.4055809999999996E-2</v>
      </c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</row>
    <row r="62" spans="1:38" x14ac:dyDescent="0.35">
      <c r="A62" s="2">
        <v>43665</v>
      </c>
      <c r="B62" s="24">
        <v>2.1338105E-2</v>
      </c>
      <c r="C62" s="24">
        <v>4.5317410000000006E-3</v>
      </c>
      <c r="D62" s="24">
        <v>2.9205559999999998E-2</v>
      </c>
      <c r="E62" s="24">
        <v>3.1489372000000002E-2</v>
      </c>
      <c r="F62" s="24">
        <v>1.1602998E-2</v>
      </c>
      <c r="G62" s="24">
        <v>5.3805470000000001E-2</v>
      </c>
      <c r="H62" s="24">
        <v>3.3944845000000003E-3</v>
      </c>
      <c r="I62" s="24">
        <v>2.9674529999999998E-2</v>
      </c>
      <c r="J62" s="24">
        <v>-3.5657524999999995E-2</v>
      </c>
      <c r="K62" s="24">
        <v>-1.6695023E-2</v>
      </c>
      <c r="L62" s="24">
        <v>6.2817574000000001E-2</v>
      </c>
      <c r="M62" s="24">
        <v>7.2896479999999997E-4</v>
      </c>
      <c r="N62" s="24">
        <v>3.0484795999999998E-2</v>
      </c>
      <c r="O62" s="24">
        <v>-1.6973555000000001E-2</v>
      </c>
      <c r="P62" s="24">
        <v>1.6446829E-2</v>
      </c>
      <c r="Q62" s="24">
        <v>-3.9392113999999999E-3</v>
      </c>
      <c r="R62" s="24">
        <v>1.7069339999999999E-2</v>
      </c>
      <c r="S62" s="24">
        <v>8.9020729999999992E-2</v>
      </c>
      <c r="T62" s="24">
        <v>6.2265515E-2</v>
      </c>
      <c r="U62" s="24">
        <v>3.6787986999999999E-3</v>
      </c>
      <c r="V62" s="24">
        <v>-8.2208513999999996E-3</v>
      </c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</row>
    <row r="63" spans="1:38" x14ac:dyDescent="0.35">
      <c r="A63" s="2">
        <v>43696</v>
      </c>
      <c r="B63" s="24">
        <v>-2.0892382000000001E-2</v>
      </c>
      <c r="C63" s="24">
        <v>-8.9974940000000003E-2</v>
      </c>
      <c r="D63" s="24">
        <v>-6.4320859999999994E-2</v>
      </c>
      <c r="E63" s="24">
        <v>-7.6457620000000004E-2</v>
      </c>
      <c r="F63" s="24">
        <v>-0.12701792000000001</v>
      </c>
      <c r="G63" s="24">
        <v>-0.118783</v>
      </c>
      <c r="H63" s="24">
        <v>-5.6495246999999998E-2</v>
      </c>
      <c r="I63" s="24">
        <v>-3.8332461999999998E-2</v>
      </c>
      <c r="J63" s="24">
        <v>-8.5727750000000005E-2</v>
      </c>
      <c r="K63" s="24">
        <v>-9.7020149999999999E-2</v>
      </c>
      <c r="L63" s="24">
        <v>-0.11451541999999999</v>
      </c>
      <c r="M63" s="24">
        <v>-0.16281187</v>
      </c>
      <c r="N63" s="24">
        <v>-7.0526419999999992E-2</v>
      </c>
      <c r="O63" s="24">
        <v>-6.5261840000000002E-2</v>
      </c>
      <c r="P63" s="24">
        <v>-4.9216269999999999E-2</v>
      </c>
      <c r="Q63" s="24">
        <v>-6.2242927999999996E-2</v>
      </c>
      <c r="R63" s="24">
        <v>-5.6388674E-2</v>
      </c>
      <c r="S63" s="24">
        <v>-5.4885149999999994E-2</v>
      </c>
      <c r="T63" s="24">
        <v>-3.5282433000000002E-2</v>
      </c>
      <c r="U63" s="24">
        <v>-4.5204696999999995E-2</v>
      </c>
      <c r="V63" s="24">
        <v>-4.7661360000000007E-2</v>
      </c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</row>
    <row r="64" spans="1:38" x14ac:dyDescent="0.35">
      <c r="A64" s="2">
        <v>43727</v>
      </c>
      <c r="B64" s="24">
        <v>3.5511851000000004E-2</v>
      </c>
      <c r="C64" s="24">
        <v>4.7920585000000002E-2</v>
      </c>
      <c r="D64" s="24">
        <v>1.4557242E-2</v>
      </c>
      <c r="E64" s="24">
        <v>8.3382130000000006E-3</v>
      </c>
      <c r="F64" s="24">
        <v>3.6496400000000005E-2</v>
      </c>
      <c r="G64" s="24">
        <v>3.7826419999999999E-2</v>
      </c>
      <c r="H64" s="24">
        <v>5.0197840000000002E-3</v>
      </c>
      <c r="I64" s="24">
        <v>6.1972737E-2</v>
      </c>
      <c r="J64" s="24">
        <v>0.11514687999999999</v>
      </c>
      <c r="K64" s="24">
        <v>9.1135859999999999E-2</v>
      </c>
      <c r="L64" s="24">
        <v>2.8711557000000002E-2</v>
      </c>
      <c r="M64" s="24">
        <v>0.10093534</v>
      </c>
      <c r="N64" s="24">
        <v>6.6817760000000004E-2</v>
      </c>
      <c r="O64" s="24">
        <v>-1.6593634999999999E-2</v>
      </c>
      <c r="P64" s="24">
        <v>3.7581920000000005E-2</v>
      </c>
      <c r="Q64" s="24">
        <v>7.2398900000000002E-2</v>
      </c>
      <c r="R64" s="24">
        <v>2.0766258000000002E-3</v>
      </c>
      <c r="S64" s="24">
        <v>3.6655663999999998E-2</v>
      </c>
      <c r="T64" s="24">
        <v>3.5840749999999998E-2</v>
      </c>
      <c r="U64" s="24">
        <v>2.8790832000000002E-2</v>
      </c>
      <c r="V64" s="24">
        <v>-7.4603614999999998E-2</v>
      </c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</row>
    <row r="65" spans="1:38" x14ac:dyDescent="0.35">
      <c r="A65" s="2">
        <v>43756</v>
      </c>
      <c r="B65" s="24">
        <v>-6.0038566999999999E-3</v>
      </c>
      <c r="C65" s="24">
        <v>2.943492E-2</v>
      </c>
      <c r="D65" s="24">
        <v>-6.3770413000000005E-3</v>
      </c>
      <c r="E65" s="24">
        <v>2.2150039999999999E-2</v>
      </c>
      <c r="F65" s="24">
        <v>1.0798216000000001E-2</v>
      </c>
      <c r="G65" s="24">
        <v>0</v>
      </c>
      <c r="H65" s="24">
        <v>-7.4920059999999998E-3</v>
      </c>
      <c r="I65" s="24">
        <v>3.9999962E-2</v>
      </c>
      <c r="J65" s="24">
        <v>2.4024009999999998E-2</v>
      </c>
      <c r="K65" s="24">
        <v>1.2660503E-2</v>
      </c>
      <c r="L65" s="24">
        <v>1.1927485E-2</v>
      </c>
      <c r="M65" s="24">
        <v>6.7180395E-3</v>
      </c>
      <c r="N65" s="24">
        <v>2.6539206999999999E-2</v>
      </c>
      <c r="O65" s="24">
        <v>8.3412890000000003E-2</v>
      </c>
      <c r="P65" s="24">
        <v>-1.366818E-2</v>
      </c>
      <c r="Q65" s="24">
        <v>8.5113050000000003E-3</v>
      </c>
      <c r="R65" s="24">
        <v>-5.6257844000000001E-3</v>
      </c>
      <c r="S65" s="24">
        <v>-3.0591965000000002E-2</v>
      </c>
      <c r="T65" s="24">
        <v>1.6961217000000001E-2</v>
      </c>
      <c r="U65" s="24">
        <v>3.7312508E-3</v>
      </c>
      <c r="V65" s="24">
        <v>-3.7285864000000002E-2</v>
      </c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</row>
    <row r="66" spans="1:38" x14ac:dyDescent="0.35">
      <c r="A66" s="2">
        <v>43788</v>
      </c>
      <c r="B66" s="24">
        <v>2.2839070000000003E-2</v>
      </c>
      <c r="C66" s="24">
        <v>-0.16236908</v>
      </c>
      <c r="D66" s="24">
        <v>-8.8247657000000007E-3</v>
      </c>
      <c r="E66" s="24">
        <v>2.6004314E-3</v>
      </c>
      <c r="F66" s="24">
        <v>8.3603859999999992E-3</v>
      </c>
      <c r="G66" s="24">
        <v>4.3390989999999999E-3</v>
      </c>
      <c r="H66" s="24">
        <v>2.1567224999999999E-2</v>
      </c>
      <c r="I66" s="24">
        <v>5.6375146000000001E-2</v>
      </c>
      <c r="J66" s="24">
        <v>6.7675109999999999E-4</v>
      </c>
      <c r="K66" s="24">
        <v>5.4523349999999998E-2</v>
      </c>
      <c r="L66" s="24">
        <v>-9.9009275000000001E-3</v>
      </c>
      <c r="M66" s="24">
        <v>1.1187434000000001E-2</v>
      </c>
      <c r="N66" s="24">
        <v>2.1716714000000002E-2</v>
      </c>
      <c r="O66" s="24">
        <v>5.8771370000000002E-3</v>
      </c>
      <c r="P66" s="24">
        <v>3.7762046000000001E-2</v>
      </c>
      <c r="Q66" s="24">
        <v>-1.7157375999999998E-2</v>
      </c>
      <c r="R66" s="24">
        <v>-1.482141E-2</v>
      </c>
      <c r="S66" s="24">
        <v>0.11229504</v>
      </c>
      <c r="T66" s="24">
        <v>-4.3780384000000006E-2</v>
      </c>
      <c r="U66" s="24">
        <v>1.3011216999999999E-2</v>
      </c>
      <c r="V66" s="24">
        <v>5.4082274000000007E-2</v>
      </c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</row>
    <row r="67" spans="1:38" x14ac:dyDescent="0.35">
      <c r="A67" s="2">
        <v>43818</v>
      </c>
      <c r="B67" s="24">
        <v>3.1348704999999998E-2</v>
      </c>
      <c r="C67" s="24">
        <v>2.5704980000000002E-2</v>
      </c>
      <c r="D67" s="24">
        <v>2.8573632000000002E-2</v>
      </c>
      <c r="E67" s="24">
        <v>-2.5627374999999997E-2</v>
      </c>
      <c r="F67" s="24">
        <v>-1.6941309000000002E-2</v>
      </c>
      <c r="G67" s="24">
        <v>3.3460259999999999E-2</v>
      </c>
      <c r="H67" s="24">
        <v>2.7017593000000003E-3</v>
      </c>
      <c r="I67" s="24">
        <v>5.1365255999999998E-2</v>
      </c>
      <c r="J67" s="24">
        <v>4.8187255999999998E-2</v>
      </c>
      <c r="K67" s="24">
        <v>3.5140513999999998E-2</v>
      </c>
      <c r="L67" s="24">
        <v>0.12238001999999999</v>
      </c>
      <c r="M67" s="24">
        <v>3.8283706000000001E-2</v>
      </c>
      <c r="N67" s="24">
        <v>2.0242930000000003E-2</v>
      </c>
      <c r="O67" s="24">
        <v>3.4853578000000003E-2</v>
      </c>
      <c r="P67" s="24">
        <v>6.5463424000000006E-2</v>
      </c>
      <c r="Q67" s="24">
        <v>3.6847589999999998E-4</v>
      </c>
      <c r="R67" s="24">
        <v>-2.0992397999999999E-2</v>
      </c>
      <c r="S67" s="24">
        <v>-2.0854414000000002E-2</v>
      </c>
      <c r="T67" s="24">
        <v>-2.6889503000000002E-2</v>
      </c>
      <c r="U67" s="24">
        <v>-3.4862400000000002E-2</v>
      </c>
      <c r="V67" s="24">
        <v>3.3687950000000001E-2</v>
      </c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</row>
    <row r="68" spans="1:38" x14ac:dyDescent="0.35">
      <c r="A68" s="2">
        <v>43847</v>
      </c>
      <c r="B68" s="24">
        <v>5.9969783000000006E-2</v>
      </c>
      <c r="C68" s="24">
        <v>3.275633E-3</v>
      </c>
      <c r="D68" s="24">
        <v>4.6905756E-2</v>
      </c>
      <c r="E68" s="24">
        <v>2.9611588000000001E-4</v>
      </c>
      <c r="F68" s="24">
        <v>3.4052730000000003E-2</v>
      </c>
      <c r="G68" s="24">
        <v>3.825605E-2</v>
      </c>
      <c r="H68" s="24">
        <v>2.3066043999999997E-2</v>
      </c>
      <c r="I68" s="24">
        <v>9.9683999999999988E-3</v>
      </c>
      <c r="J68" s="24">
        <v>4.2335986999999999E-2</v>
      </c>
      <c r="K68" s="24">
        <v>4.0793179999999998E-2</v>
      </c>
      <c r="L68" s="24">
        <v>6.5811869999999996E-3</v>
      </c>
      <c r="M68" s="24">
        <v>-2.2615194000000002E-3</v>
      </c>
      <c r="N68" s="24">
        <v>1.2456297999999999E-2</v>
      </c>
      <c r="O68" s="24">
        <v>2.2322774E-2</v>
      </c>
      <c r="P68" s="24">
        <v>6.6245079999999998E-2</v>
      </c>
      <c r="Q68" s="24">
        <v>4.3626069999999996E-2</v>
      </c>
      <c r="R68" s="24">
        <v>1.7140031E-2</v>
      </c>
      <c r="S68" s="24">
        <v>0.11149157000000001</v>
      </c>
      <c r="T68" s="24">
        <v>2.2031426E-2</v>
      </c>
      <c r="U68" s="24">
        <v>2.4897098999999999E-2</v>
      </c>
      <c r="V68" s="24">
        <v>1.5559195999999999E-2</v>
      </c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</row>
    <row r="69" spans="1:38" x14ac:dyDescent="0.35">
      <c r="A69" s="2">
        <v>43880</v>
      </c>
      <c r="B69" s="24">
        <v>-3.8668752000000001E-2</v>
      </c>
      <c r="C69" s="24">
        <v>-0.10181056999999999</v>
      </c>
      <c r="D69" s="24">
        <v>-8.170181E-2</v>
      </c>
      <c r="E69" s="24">
        <v>-4.4391813000000002E-2</v>
      </c>
      <c r="F69" s="24">
        <v>-7.3051870000000005E-2</v>
      </c>
      <c r="G69" s="24">
        <v>-6.2313739999999999E-2</v>
      </c>
      <c r="H69" s="24">
        <v>-7.3187646999999995E-2</v>
      </c>
      <c r="I69" s="24">
        <v>-3.1054437000000001E-2</v>
      </c>
      <c r="J69" s="24">
        <v>-9.3730089999999999E-3</v>
      </c>
      <c r="K69" s="24">
        <v>-4.6377300000000003E-2</v>
      </c>
      <c r="L69" s="24">
        <v>-6.0949507E-2</v>
      </c>
      <c r="M69" s="24">
        <v>-3.9151012999999998E-2</v>
      </c>
      <c r="N69" s="24">
        <v>-7.6846360000000002E-2</v>
      </c>
      <c r="O69" s="24">
        <v>-2.4599194999999997E-2</v>
      </c>
      <c r="P69" s="24">
        <v>-3.1731904000000005E-2</v>
      </c>
      <c r="Q69" s="24">
        <v>-8.1161790000000011E-2</v>
      </c>
      <c r="R69" s="24">
        <v>-5.9319677000000001E-2</v>
      </c>
      <c r="S69" s="24">
        <v>-6.1622677000000001E-2</v>
      </c>
      <c r="T69" s="24">
        <v>-5.4439250000000002E-2</v>
      </c>
      <c r="U69" s="24">
        <v>-6.4174356000000002E-2</v>
      </c>
      <c r="V69" s="24">
        <v>-7.7561435999999997E-2</v>
      </c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</row>
    <row r="70" spans="1:38" x14ac:dyDescent="0.35">
      <c r="A70" s="2">
        <v>43909</v>
      </c>
      <c r="B70" s="24">
        <v>-0.10814375</v>
      </c>
      <c r="C70" s="24">
        <v>-0.36285525999999996</v>
      </c>
      <c r="D70" s="24">
        <v>-0.4546945</v>
      </c>
      <c r="E70" s="24">
        <v>-0.38928467</v>
      </c>
      <c r="F70" s="24">
        <v>-0.35001254999999998</v>
      </c>
      <c r="G70" s="24">
        <v>-0.35885586000000003</v>
      </c>
      <c r="H70" s="24">
        <v>-0.28218561000000003</v>
      </c>
      <c r="I70" s="24">
        <v>-0.26757765</v>
      </c>
      <c r="J70" s="24">
        <v>-0.39865433000000006</v>
      </c>
      <c r="K70" s="24">
        <v>-0.36138854999999998</v>
      </c>
      <c r="L70" s="24">
        <v>-0.49442039999999998</v>
      </c>
      <c r="M70" s="24">
        <v>-0.44971049999999996</v>
      </c>
      <c r="N70" s="24">
        <v>-0.45405406999999998</v>
      </c>
      <c r="O70" s="24">
        <v>-0.35364130000000005</v>
      </c>
      <c r="P70" s="24">
        <v>-0.19234306000000001</v>
      </c>
      <c r="Q70" s="24">
        <v>-8.9512529999999993E-2</v>
      </c>
      <c r="R70" s="24">
        <v>-0.30643493999999999</v>
      </c>
      <c r="S70" s="24">
        <v>-0.33783295000000002</v>
      </c>
      <c r="T70" s="24">
        <v>-0.29675419000000003</v>
      </c>
      <c r="U70" s="24">
        <v>-0.29893481999999999</v>
      </c>
      <c r="V70" s="24">
        <v>-0.22145324999999999</v>
      </c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</row>
    <row r="71" spans="1:38" x14ac:dyDescent="0.35">
      <c r="A71" s="2">
        <v>43938</v>
      </c>
      <c r="B71" s="24">
        <v>5.9519409999999995E-2</v>
      </c>
      <c r="C71" s="24">
        <v>0.23858917000000002</v>
      </c>
      <c r="D71" s="24">
        <v>0.17819548000000002</v>
      </c>
      <c r="E71" s="24">
        <v>0.25</v>
      </c>
      <c r="F71" s="24">
        <v>0.15165520000000002</v>
      </c>
      <c r="G71" s="24">
        <v>0.11987376</v>
      </c>
      <c r="H71" s="24">
        <v>0.22992695000000002</v>
      </c>
      <c r="I71" s="24">
        <v>0.22421980000000002</v>
      </c>
      <c r="J71" s="24">
        <v>-1.3636410000000002E-2</v>
      </c>
      <c r="K71" s="24">
        <v>0.30179490000000003</v>
      </c>
      <c r="L71" s="24">
        <v>0.13648642</v>
      </c>
      <c r="M71" s="24">
        <v>0.17770851000000001</v>
      </c>
      <c r="N71" s="24">
        <v>0.2059406</v>
      </c>
      <c r="O71" s="24">
        <v>0.13678217000000001</v>
      </c>
      <c r="P71" s="24">
        <v>0.14087975</v>
      </c>
      <c r="Q71" s="24">
        <v>1.2978554E-2</v>
      </c>
      <c r="R71" s="24">
        <v>0.18679559999999998</v>
      </c>
      <c r="S71" s="24">
        <v>0.10964191</v>
      </c>
      <c r="T71" s="24">
        <v>8.5714229999999988E-2</v>
      </c>
      <c r="U71" s="24">
        <v>0.16334283999999999</v>
      </c>
      <c r="V71" s="24">
        <v>8.4444409999999998E-2</v>
      </c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</row>
    <row r="72" spans="1:38" x14ac:dyDescent="0.35">
      <c r="A72" s="2">
        <v>43970</v>
      </c>
      <c r="B72" s="24">
        <v>2.5122045999999999E-2</v>
      </c>
      <c r="C72" s="24">
        <v>2.0519375999999999E-2</v>
      </c>
      <c r="D72" s="24">
        <v>2.3612022E-2</v>
      </c>
      <c r="E72" s="24">
        <v>-2.5152087E-2</v>
      </c>
      <c r="F72" s="24">
        <v>-7.3528886000000003E-3</v>
      </c>
      <c r="G72" s="24">
        <v>7.0422529999999997E-2</v>
      </c>
      <c r="H72" s="24">
        <v>2.416277E-2</v>
      </c>
      <c r="I72" s="24">
        <v>2.3552179999999999E-2</v>
      </c>
      <c r="J72" s="24">
        <v>3.7575364E-2</v>
      </c>
      <c r="K72" s="24">
        <v>2.3242116E-2</v>
      </c>
      <c r="L72" s="24">
        <v>-7.173997E-2</v>
      </c>
      <c r="M72" s="24">
        <v>9.0999364999999999E-2</v>
      </c>
      <c r="N72" s="24">
        <v>-3.3387065E-2</v>
      </c>
      <c r="O72" s="24">
        <v>-1.4269232999999999E-2</v>
      </c>
      <c r="P72" s="24">
        <v>3.8391231999999997E-2</v>
      </c>
      <c r="Q72" s="24">
        <v>1.8206357999999999E-2</v>
      </c>
      <c r="R72" s="24">
        <v>5.7059170000000006E-2</v>
      </c>
      <c r="S72" s="24">
        <v>4.7666430000000003E-2</v>
      </c>
      <c r="T72" s="24">
        <v>2.2267222000000003E-2</v>
      </c>
      <c r="U72" s="24">
        <v>6.4489840000000007E-2</v>
      </c>
      <c r="V72" s="24">
        <v>6.1885240000000001E-2</v>
      </c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</row>
    <row r="73" spans="1:38" x14ac:dyDescent="0.35">
      <c r="A73" s="2">
        <v>44001</v>
      </c>
      <c r="B73" s="24">
        <v>4.9640299999999998E-2</v>
      </c>
      <c r="C73" s="24">
        <v>6.8457007E-2</v>
      </c>
      <c r="D73" s="24">
        <v>0.16735029999999998</v>
      </c>
      <c r="E73" s="24">
        <v>0.14706373</v>
      </c>
      <c r="F73" s="24">
        <v>0.15180754999999999</v>
      </c>
      <c r="G73" s="24">
        <v>8.8603260000000003E-2</v>
      </c>
      <c r="H73" s="24">
        <v>7.2846292999999993E-2</v>
      </c>
      <c r="I73" s="24">
        <v>7.2008610000000001E-2</v>
      </c>
      <c r="J73" s="24">
        <v>0.13410675</v>
      </c>
      <c r="K73" s="24">
        <v>9.2396499999999993E-2</v>
      </c>
      <c r="L73" s="24">
        <v>0.28349471999999998</v>
      </c>
      <c r="M73" s="24">
        <v>9.153414E-2</v>
      </c>
      <c r="N73" s="24">
        <v>0.13193654999999999</v>
      </c>
      <c r="O73" s="24">
        <v>0.12431215999999999</v>
      </c>
      <c r="P73" s="24">
        <v>4.5496225000000001E-2</v>
      </c>
      <c r="Q73" s="24">
        <v>5.4034233000000001E-2</v>
      </c>
      <c r="R73" s="24">
        <v>4.6467422999999994E-2</v>
      </c>
      <c r="S73" s="24">
        <v>8.4506150000000002E-2</v>
      </c>
      <c r="T73" s="24">
        <v>6.9461345999999993E-2</v>
      </c>
      <c r="U73" s="24">
        <v>5.4831266000000004E-2</v>
      </c>
      <c r="V73" s="24">
        <v>5.3418755999999998E-2</v>
      </c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</row>
    <row r="74" spans="1:38" x14ac:dyDescent="0.35">
      <c r="A74" s="2">
        <v>44029</v>
      </c>
      <c r="B74" s="24">
        <v>0.14925706999999999</v>
      </c>
      <c r="C74" s="24">
        <v>3.5238862000000003E-2</v>
      </c>
      <c r="D74" s="24">
        <v>1.6181230000000001E-2</v>
      </c>
      <c r="E74" s="24">
        <v>-1.5328466999999998E-2</v>
      </c>
      <c r="F74" s="24">
        <v>1.653862E-2</v>
      </c>
      <c r="G74" s="24">
        <v>1.6046405E-2</v>
      </c>
      <c r="H74" s="24">
        <v>7.446813599999999E-2</v>
      </c>
      <c r="I74" s="24">
        <v>8.2828409999999991E-2</v>
      </c>
      <c r="J74" s="24">
        <v>-4.8684654000000001E-2</v>
      </c>
      <c r="K74" s="24">
        <v>4.7400830000000005E-2</v>
      </c>
      <c r="L74" s="24">
        <v>5.5218816000000004E-2</v>
      </c>
      <c r="M74" s="24">
        <v>9.5076450000000007E-2</v>
      </c>
      <c r="N74" s="24">
        <v>1.4799476000000001E-2</v>
      </c>
      <c r="O74" s="24">
        <v>9.9441769999999999E-2</v>
      </c>
      <c r="P74" s="24">
        <v>9.3269825000000001E-2</v>
      </c>
      <c r="Q74" s="24">
        <v>4.2441606999999999E-2</v>
      </c>
      <c r="R74" s="24">
        <v>-8.199453399999999E-3</v>
      </c>
      <c r="S74" s="24">
        <v>3.8275480000000001E-2</v>
      </c>
      <c r="T74" s="24">
        <v>-1.4160097E-2</v>
      </c>
      <c r="U74" s="24">
        <v>5.4162144999999995E-2</v>
      </c>
      <c r="V74" s="24">
        <v>1.154995E-2</v>
      </c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</row>
    <row r="75" spans="1:38" x14ac:dyDescent="0.35">
      <c r="A75" s="2">
        <v>44062</v>
      </c>
      <c r="B75" s="24">
        <v>4.7551512999999997E-2</v>
      </c>
      <c r="C75" s="24">
        <v>1.891017E-3</v>
      </c>
      <c r="D75" s="24">
        <v>3.874731E-2</v>
      </c>
      <c r="E75" s="24">
        <v>1.1489987E-2</v>
      </c>
      <c r="F75" s="24">
        <v>5.9849024000000001E-2</v>
      </c>
      <c r="G75" s="24">
        <v>7.2322606999999997E-2</v>
      </c>
      <c r="H75" s="24">
        <v>-7.3343515E-4</v>
      </c>
      <c r="I75" s="24">
        <v>4.6175360000000006E-2</v>
      </c>
      <c r="J75" s="24">
        <v>9.3134165000000005E-2</v>
      </c>
      <c r="K75" s="24">
        <v>8.2436079999999995E-2</v>
      </c>
      <c r="L75" s="24">
        <v>-4.7543049999999996E-2</v>
      </c>
      <c r="M75" s="24">
        <v>-4.4185996000000005E-2</v>
      </c>
      <c r="N75" s="24">
        <v>4.0694833E-2</v>
      </c>
      <c r="O75" s="24">
        <v>5.0777555000000002E-2</v>
      </c>
      <c r="P75" s="24">
        <v>2.9234052E-2</v>
      </c>
      <c r="Q75" s="24">
        <v>2.9492497000000003E-2</v>
      </c>
      <c r="R75" s="24">
        <v>-3.7445306999999997E-2</v>
      </c>
      <c r="S75" s="24">
        <v>-0.10635596</v>
      </c>
      <c r="T75" s="24">
        <v>6.785535999999999E-2</v>
      </c>
      <c r="U75" s="24">
        <v>-1.7241359000000001E-2</v>
      </c>
      <c r="V75" s="24">
        <v>4.677713E-2</v>
      </c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</row>
    <row r="76" spans="1:38" x14ac:dyDescent="0.35">
      <c r="A76" s="2">
        <v>44092</v>
      </c>
      <c r="B76" s="24">
        <v>9.9973679999999995E-3</v>
      </c>
      <c r="C76" s="24">
        <v>-6.2287625999999999E-2</v>
      </c>
      <c r="D76" s="24">
        <v>-7.7158930000000001E-2</v>
      </c>
      <c r="E76" s="24">
        <v>-2.4184763000000001E-2</v>
      </c>
      <c r="F76" s="24">
        <v>-6.2499943000000002E-2</v>
      </c>
      <c r="G76" s="24">
        <v>-2.637142E-2</v>
      </c>
      <c r="H76" s="24">
        <v>-4.1467850000000001E-2</v>
      </c>
      <c r="I76" s="24">
        <v>1.0699986999999999E-2</v>
      </c>
      <c r="J76" s="24">
        <v>-3.024137E-2</v>
      </c>
      <c r="K76" s="24">
        <v>2.6422262000000002E-2</v>
      </c>
      <c r="L76" s="24">
        <v>-1.6750693000000001E-3</v>
      </c>
      <c r="M76" s="24">
        <v>2.7574896999999998E-2</v>
      </c>
      <c r="N76" s="24">
        <v>1.4306187999999999E-2</v>
      </c>
      <c r="O76" s="24">
        <v>3.5336732999999995E-2</v>
      </c>
      <c r="P76" s="24">
        <v>1.0378241999999999E-2</v>
      </c>
      <c r="Q76" s="24">
        <v>2.7507185999999999E-2</v>
      </c>
      <c r="R76" s="24">
        <v>-1.5496671E-2</v>
      </c>
      <c r="S76" s="24">
        <v>-5.4054019999999994E-2</v>
      </c>
      <c r="T76" s="24">
        <v>1.2059331E-2</v>
      </c>
      <c r="U76" s="24">
        <v>3.9999962E-2</v>
      </c>
      <c r="V76" s="24">
        <v>5.0668597000000003E-2</v>
      </c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</row>
    <row r="77" spans="1:38" x14ac:dyDescent="0.35">
      <c r="A77" s="2">
        <v>44123</v>
      </c>
      <c r="B77" s="24">
        <v>2.1936892999999999E-2</v>
      </c>
      <c r="C77" s="24">
        <v>-3.2206058999999995E-2</v>
      </c>
      <c r="D77" s="24">
        <v>1.9933580999999999E-2</v>
      </c>
      <c r="E77" s="24">
        <v>1.0890007E-2</v>
      </c>
      <c r="F77" s="24">
        <v>-9.2397629999999994E-2</v>
      </c>
      <c r="G77" s="24">
        <v>-2.0902634E-2</v>
      </c>
      <c r="H77" s="24">
        <v>2.3736595999999999E-2</v>
      </c>
      <c r="I77" s="24">
        <v>1.1910080999999999E-2</v>
      </c>
      <c r="J77" s="24">
        <v>4.3778180000000007E-2</v>
      </c>
      <c r="K77" s="24">
        <v>6.2083005999999993E-3</v>
      </c>
      <c r="L77" s="24">
        <v>-3.0872464000000002E-2</v>
      </c>
      <c r="M77" s="24">
        <v>-2.6308298000000002E-3</v>
      </c>
      <c r="N77" s="24">
        <v>-9.5439620000000003E-2</v>
      </c>
      <c r="O77" s="24">
        <v>1.8669724000000002E-2</v>
      </c>
      <c r="P77" s="24">
        <v>4.5276403E-2</v>
      </c>
      <c r="Q77" s="24">
        <v>-5.3151250000000004E-3</v>
      </c>
      <c r="R77" s="24">
        <v>-6.1813592999999993E-2</v>
      </c>
      <c r="S77" s="24">
        <v>2.3558855E-2</v>
      </c>
      <c r="T77" s="24">
        <v>-3.2502294000000001E-2</v>
      </c>
      <c r="U77" s="24">
        <v>6.0728789999999998E-3</v>
      </c>
      <c r="V77" s="24">
        <v>1.9089103E-2</v>
      </c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</row>
    <row r="78" spans="1:38" x14ac:dyDescent="0.35">
      <c r="A78" s="2">
        <v>44154</v>
      </c>
      <c r="B78" s="24">
        <v>4.6073199999999995E-2</v>
      </c>
      <c r="C78" s="24">
        <v>0.13685523999999999</v>
      </c>
      <c r="D78" s="24">
        <v>0.17915307999999999</v>
      </c>
      <c r="E78" s="24">
        <v>0.17682016</v>
      </c>
      <c r="F78" s="24">
        <v>0.11275768</v>
      </c>
      <c r="G78" s="24">
        <v>6.4232589999999992E-2</v>
      </c>
      <c r="H78" s="24">
        <v>2.9169798E-2</v>
      </c>
      <c r="I78" s="24">
        <v>8.6094139999999986E-2</v>
      </c>
      <c r="J78" s="24">
        <v>0.16977882</v>
      </c>
      <c r="K78" s="24">
        <v>0.12264860000000001</v>
      </c>
      <c r="L78" s="24">
        <v>0.13954294</v>
      </c>
      <c r="M78" s="24">
        <v>0.11711943</v>
      </c>
      <c r="N78" s="24">
        <v>0.13305616000000001</v>
      </c>
      <c r="O78" s="24">
        <v>4.4673559999999994E-2</v>
      </c>
      <c r="P78" s="24">
        <v>3.8014053999999999E-2</v>
      </c>
      <c r="Q78" s="24">
        <v>6.4649579999999998E-3</v>
      </c>
      <c r="R78" s="24">
        <v>0.13292253499999998</v>
      </c>
      <c r="S78" s="24">
        <v>0.16062688999999999</v>
      </c>
      <c r="T78" s="24">
        <v>6.6752552999999992E-2</v>
      </c>
      <c r="U78" s="24">
        <v>5.1643250000000002E-2</v>
      </c>
      <c r="V78" s="24">
        <v>9.8586079999999996E-3</v>
      </c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</row>
    <row r="79" spans="1:38" x14ac:dyDescent="0.35">
      <c r="A79" s="2">
        <v>44183</v>
      </c>
      <c r="B79" s="24">
        <v>3.4279466000000001E-2</v>
      </c>
      <c r="C79" s="24">
        <v>9.3097569999999991E-2</v>
      </c>
      <c r="D79" s="24">
        <v>0.11133122000000001</v>
      </c>
      <c r="E79" s="24">
        <v>4.5207977000000003E-2</v>
      </c>
      <c r="F79" s="24">
        <v>0.11230040000000001</v>
      </c>
      <c r="G79" s="24">
        <v>0.11215734500000001</v>
      </c>
      <c r="H79" s="24">
        <v>5.8502913000000004E-2</v>
      </c>
      <c r="I79" s="24">
        <v>5.4550049999999996E-2</v>
      </c>
      <c r="J79" s="24">
        <v>5.4601550000000006E-2</v>
      </c>
      <c r="K79" s="24">
        <v>9.717511999999999E-2</v>
      </c>
      <c r="L79" s="24">
        <v>0.15428364</v>
      </c>
      <c r="M79" s="24">
        <v>0.11078094999999999</v>
      </c>
      <c r="N79" s="24">
        <v>0.19174313000000001</v>
      </c>
      <c r="O79" s="24">
        <v>7.9011319999999996E-2</v>
      </c>
      <c r="P79" s="24">
        <v>8.4409714000000004E-3</v>
      </c>
      <c r="Q79" s="24">
        <v>3.0083536999999997E-2</v>
      </c>
      <c r="R79" s="24">
        <v>8.2487469999999993E-2</v>
      </c>
      <c r="S79" s="24">
        <v>5.2379727000000001E-2</v>
      </c>
      <c r="T79" s="24">
        <v>8.0602279999999998E-2</v>
      </c>
      <c r="U79" s="24">
        <v>7.5255156000000004E-2</v>
      </c>
      <c r="V79" s="24">
        <v>2.2637010000000003E-2</v>
      </c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</row>
    <row r="80" spans="1:38" x14ac:dyDescent="0.35">
      <c r="A80" s="2">
        <v>44215</v>
      </c>
      <c r="B80" s="24">
        <v>8.7380999999999986E-2</v>
      </c>
      <c r="C80" s="24">
        <v>7.1668982999999992E-2</v>
      </c>
      <c r="D80" s="24">
        <v>7.9299209999999995E-3</v>
      </c>
      <c r="E80" s="24">
        <v>-2.2094428999999999E-2</v>
      </c>
      <c r="F80" s="24">
        <v>7.8492165000000006E-3</v>
      </c>
      <c r="G80" s="24">
        <v>1.2636423000000001E-2</v>
      </c>
      <c r="H80" s="24">
        <v>-4.3940900000000005E-2</v>
      </c>
      <c r="I80" s="24">
        <v>0.11906147</v>
      </c>
      <c r="J80" s="24">
        <v>4.0288567999999997E-2</v>
      </c>
      <c r="K80" s="24">
        <v>0.14048253999999999</v>
      </c>
      <c r="L80" s="24">
        <v>-2.7055739999999998E-2</v>
      </c>
      <c r="M80" s="24">
        <v>-1.1071562999999999E-3</v>
      </c>
      <c r="N80" s="24">
        <v>-6.3654779999999999E-3</v>
      </c>
      <c r="O80" s="24">
        <v>4.5766590000000003E-2</v>
      </c>
      <c r="P80" s="24">
        <v>0.10430681</v>
      </c>
      <c r="Q80" s="24">
        <v>2.8123379E-2</v>
      </c>
      <c r="R80" s="24">
        <v>2.7125240000000002E-2</v>
      </c>
      <c r="S80" s="24">
        <v>0.1206758</v>
      </c>
      <c r="T80" s="24">
        <v>9.7861879999999998E-2</v>
      </c>
      <c r="U80" s="24">
        <v>6.312239E-2</v>
      </c>
      <c r="V80" s="24">
        <v>1.1171459999999999E-2</v>
      </c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</row>
    <row r="81" spans="1:38" x14ac:dyDescent="0.35">
      <c r="A81" s="2">
        <v>44246</v>
      </c>
      <c r="B81" s="24">
        <v>7.6610565000000005E-2</v>
      </c>
      <c r="C81" s="24">
        <v>4.1130304000000006E-2</v>
      </c>
      <c r="D81" s="24">
        <v>-2.2360205999999997E-2</v>
      </c>
      <c r="E81" s="24">
        <v>-4.2711260000000001E-2</v>
      </c>
      <c r="F81" s="24">
        <v>2.4402857E-2</v>
      </c>
      <c r="G81" s="24">
        <v>8.2813499999999998E-2</v>
      </c>
      <c r="H81" s="24">
        <v>-8.6175799999999997E-3</v>
      </c>
      <c r="I81" s="24">
        <v>4.0547609999999998E-2</v>
      </c>
      <c r="J81" s="24">
        <v>-5.5480059999999998E-2</v>
      </c>
      <c r="K81" s="24">
        <v>5.0739050000000001E-3</v>
      </c>
      <c r="L81" s="24">
        <v>-2.7262806999999997E-2</v>
      </c>
      <c r="M81" s="24">
        <v>8.3130120000000002E-2</v>
      </c>
      <c r="N81" s="24">
        <v>-4.1518449999999998E-2</v>
      </c>
      <c r="O81" s="24">
        <v>3.8900970999999999E-2</v>
      </c>
      <c r="P81" s="24">
        <v>7.8110932999999994E-2</v>
      </c>
      <c r="Q81" s="24">
        <v>-3.6822735999999995E-2</v>
      </c>
      <c r="R81" s="24">
        <v>-1.4501572000000001E-2</v>
      </c>
      <c r="S81" s="24">
        <v>6.9992780000000004E-2</v>
      </c>
      <c r="T81" s="24">
        <v>-3.2209754E-2</v>
      </c>
      <c r="U81" s="24">
        <v>3.0252100000000001E-2</v>
      </c>
      <c r="V81" s="24">
        <v>2.6830791999999999E-2</v>
      </c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</row>
    <row r="82" spans="1:38" x14ac:dyDescent="0.35">
      <c r="A82" s="2">
        <v>44274</v>
      </c>
      <c r="B82" s="24">
        <v>-0.14308953000000002</v>
      </c>
      <c r="C82" s="24">
        <v>3.4378766999999998E-2</v>
      </c>
      <c r="D82" s="24">
        <v>-1.1012315999999999E-2</v>
      </c>
      <c r="E82" s="24">
        <v>-4.3970289999999995E-2</v>
      </c>
      <c r="F82" s="24">
        <v>-6.8423749999999992E-2</v>
      </c>
      <c r="G82" s="24">
        <v>-6.416976499999999E-2</v>
      </c>
      <c r="H82" s="24">
        <v>1.8471599000000002E-2</v>
      </c>
      <c r="I82" s="24">
        <v>-3.1473755999999999E-2</v>
      </c>
      <c r="J82" s="24">
        <v>5.0587416000000003E-2</v>
      </c>
      <c r="K82" s="24">
        <v>-4.5327605999999993E-2</v>
      </c>
      <c r="L82" s="24">
        <v>-4.0078459999999996E-2</v>
      </c>
      <c r="M82" s="24">
        <v>-1.2280345E-3</v>
      </c>
      <c r="N82" s="24">
        <v>7.4669956999999995E-2</v>
      </c>
      <c r="O82" s="24">
        <v>-6.3187479999999999E-3</v>
      </c>
      <c r="P82" s="24">
        <v>-0.11238891000000001</v>
      </c>
      <c r="Q82" s="24">
        <v>7.6462030000000007E-3</v>
      </c>
      <c r="R82" s="24">
        <v>4.228556E-2</v>
      </c>
      <c r="S82" s="24">
        <v>-4.1932225000000004E-2</v>
      </c>
      <c r="T82" s="24">
        <v>2.7089834E-2</v>
      </c>
      <c r="U82" s="24">
        <v>-2.7188718000000001E-2</v>
      </c>
      <c r="V82" s="24">
        <v>4.8570633000000002E-2</v>
      </c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</row>
    <row r="83" spans="1:38" x14ac:dyDescent="0.35">
      <c r="A83" s="2">
        <v>44305</v>
      </c>
      <c r="B83" s="24">
        <v>8.5158350000000011E-3</v>
      </c>
      <c r="C83" s="24">
        <v>4.3731809999999996E-2</v>
      </c>
      <c r="D83" s="24">
        <v>-6.8094254000000007E-2</v>
      </c>
      <c r="E83" s="24">
        <v>-6.0872435999999993E-3</v>
      </c>
      <c r="F83" s="24">
        <v>6.0935854999999997E-2</v>
      </c>
      <c r="G83" s="24">
        <v>-3.7223577000000001E-2</v>
      </c>
      <c r="H83" s="24">
        <v>-1.6714096000000001E-2</v>
      </c>
      <c r="I83" s="24">
        <v>8.1327320000000008E-2</v>
      </c>
      <c r="J83" s="24">
        <v>5.6138754000000006E-2</v>
      </c>
      <c r="K83" s="24">
        <v>5.0855160000000003E-2</v>
      </c>
      <c r="L83" s="24">
        <v>2.9780984E-2</v>
      </c>
      <c r="M83" s="24">
        <v>6.2704919999999997E-2</v>
      </c>
      <c r="N83" s="24">
        <v>4.7216889999999997E-2</v>
      </c>
      <c r="O83" s="24">
        <v>-5.3933144000000002E-2</v>
      </c>
      <c r="P83" s="24">
        <v>-3.2273232999999998E-2</v>
      </c>
      <c r="Q83" s="24">
        <v>5.4742455000000002E-2</v>
      </c>
      <c r="R83" s="24">
        <v>7.0015190000000003E-3</v>
      </c>
      <c r="S83" s="24">
        <v>-0.18662464000000001</v>
      </c>
      <c r="T83" s="24">
        <v>1.4317989E-2</v>
      </c>
      <c r="U83" s="24">
        <v>9.2230430000000002E-2</v>
      </c>
      <c r="V83" s="24">
        <v>8.7950710000000001E-2</v>
      </c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</row>
    <row r="84" spans="1:38" x14ac:dyDescent="0.35">
      <c r="A84" s="2">
        <v>44335</v>
      </c>
      <c r="B84" s="24">
        <v>4.1013239999999999E-2</v>
      </c>
      <c r="C84" s="24">
        <v>-0.20782119999999998</v>
      </c>
      <c r="D84" s="24">
        <v>-3.5386026000000001E-2</v>
      </c>
      <c r="E84" s="24">
        <v>-1.7012596000000001E-2</v>
      </c>
      <c r="F84" s="24">
        <v>8.2564119999999991E-2</v>
      </c>
      <c r="G84" s="24">
        <v>-2.587217E-2</v>
      </c>
      <c r="H84" s="24">
        <v>-1.2658237999999999E-2</v>
      </c>
      <c r="I84" s="24">
        <v>-5.422163E-2</v>
      </c>
      <c r="J84" s="24">
        <v>2.3120164999999998E-2</v>
      </c>
      <c r="K84" s="24">
        <v>-3.5546064000000002E-2</v>
      </c>
      <c r="L84" s="24">
        <v>6.3226579999999991E-2</v>
      </c>
      <c r="M84" s="24">
        <v>-1.5233338000000001E-2</v>
      </c>
      <c r="N84" s="24">
        <v>4.2155385000000004E-2</v>
      </c>
      <c r="O84" s="24">
        <v>7.542944E-2</v>
      </c>
      <c r="P84" s="24">
        <v>-2.6898801E-2</v>
      </c>
      <c r="Q84" s="24">
        <v>4.3679475999999998E-3</v>
      </c>
      <c r="R84" s="24">
        <v>-8.0449579999999996E-3</v>
      </c>
      <c r="S84" s="24">
        <v>2.1523832999999999E-2</v>
      </c>
      <c r="T84" s="24">
        <v>5.8692454999999998E-2</v>
      </c>
      <c r="U84" s="24">
        <v>-3.5312234999999997E-2</v>
      </c>
      <c r="V84" s="24">
        <v>2.7216315000000001E-2</v>
      </c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</row>
    <row r="85" spans="1:38" x14ac:dyDescent="0.35">
      <c r="A85" s="2">
        <v>44365</v>
      </c>
      <c r="B85" s="24">
        <v>-7.6488849999999994E-3</v>
      </c>
      <c r="C85" s="24">
        <v>1.1256337E-2</v>
      </c>
      <c r="D85" s="24">
        <v>-8.0348850000000003E-3</v>
      </c>
      <c r="E85" s="24">
        <v>7.4059486000000008E-2</v>
      </c>
      <c r="F85" s="24">
        <v>1.45787E-2</v>
      </c>
      <c r="G85" s="24">
        <v>-0.14533858999999999</v>
      </c>
      <c r="H85" s="24">
        <v>-4.7748089999999997E-3</v>
      </c>
      <c r="I85" s="24">
        <v>5.1613927000000004E-2</v>
      </c>
      <c r="J85" s="24">
        <v>-3.4453273000000003E-3</v>
      </c>
      <c r="K85" s="24">
        <v>1.1323214E-2</v>
      </c>
      <c r="L85" s="24">
        <v>8.6518169999999991E-2</v>
      </c>
      <c r="M85" s="24">
        <v>-3.9405465000000001E-2</v>
      </c>
      <c r="N85" s="24">
        <v>3.5178660000000002E-4</v>
      </c>
      <c r="O85" s="24">
        <v>1.8995166000000001E-2</v>
      </c>
      <c r="P85" s="24">
        <v>6.8078039999999998E-3</v>
      </c>
      <c r="Q85" s="24">
        <v>-2.0937502E-2</v>
      </c>
      <c r="R85" s="24">
        <v>3.2479048000000003E-2</v>
      </c>
      <c r="S85" s="24">
        <v>-6.5292062999999997E-2</v>
      </c>
      <c r="T85" s="24">
        <v>3.8010120000000001E-2</v>
      </c>
      <c r="U85" s="24">
        <v>6.1538459999999996E-2</v>
      </c>
      <c r="V85" s="24">
        <v>2.9024363000000001E-2</v>
      </c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</row>
    <row r="86" spans="1:38" x14ac:dyDescent="0.35">
      <c r="A86" s="2">
        <v>44396</v>
      </c>
      <c r="B86" s="24">
        <v>1.5672445E-2</v>
      </c>
      <c r="C86" s="24">
        <v>-3.0141830000000001E-2</v>
      </c>
      <c r="D86" s="24">
        <v>-3.8666070000000004E-2</v>
      </c>
      <c r="E86" s="24">
        <v>-7.8844905000000007E-2</v>
      </c>
      <c r="F86" s="24">
        <v>-2.106744E-2</v>
      </c>
      <c r="G86" s="24">
        <v>-1.9718289E-2</v>
      </c>
      <c r="H86" s="24">
        <v>-5.9984802999999996E-2</v>
      </c>
      <c r="I86" s="24">
        <v>1.5507579000000001E-2</v>
      </c>
      <c r="J86" s="24">
        <v>2.3494958999999999E-3</v>
      </c>
      <c r="K86" s="24">
        <v>-2.7332603999999996E-2</v>
      </c>
      <c r="L86" s="24">
        <v>-5.7313679999999999E-2</v>
      </c>
      <c r="M86" s="24">
        <v>-3.7646592E-2</v>
      </c>
      <c r="N86" s="24">
        <v>-9.4936729999999997E-2</v>
      </c>
      <c r="O86" s="24">
        <v>-3.8653612E-3</v>
      </c>
      <c r="P86" s="24">
        <v>-4.1708174000000001E-2</v>
      </c>
      <c r="Q86" s="24">
        <v>1.6721486999999998E-3</v>
      </c>
      <c r="R86" s="24">
        <v>-3.5319685999999996E-2</v>
      </c>
      <c r="S86" s="24">
        <v>-2.8783679999999999E-2</v>
      </c>
      <c r="T86" s="24">
        <v>-3.4989475999999999E-2</v>
      </c>
      <c r="U86" s="24">
        <v>-6.3968062000000006E-2</v>
      </c>
      <c r="V86" s="24">
        <v>-1.3381362000000001E-2</v>
      </c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</row>
    <row r="87" spans="1:38" x14ac:dyDescent="0.35">
      <c r="A87" s="2">
        <v>44427</v>
      </c>
      <c r="B87" s="24">
        <v>-2.9479504E-2</v>
      </c>
      <c r="C87" s="24">
        <v>-1.8281519999999999E-2</v>
      </c>
      <c r="D87" s="24">
        <v>3.3685327000000001E-2</v>
      </c>
      <c r="E87" s="24">
        <v>2.6769995999999997E-2</v>
      </c>
      <c r="F87" s="24">
        <v>2.7737975000000002E-2</v>
      </c>
      <c r="G87" s="24">
        <v>-0.14044540999999999</v>
      </c>
      <c r="H87" s="24">
        <v>-3.6349297000000001E-3</v>
      </c>
      <c r="I87" s="24">
        <v>-5.1007566000000004E-2</v>
      </c>
      <c r="J87" s="24">
        <v>4.0272712999999995E-2</v>
      </c>
      <c r="K87" s="24">
        <v>-6.3311156999999993E-2</v>
      </c>
      <c r="L87" s="24">
        <v>-8.9082775000000003E-2</v>
      </c>
      <c r="M87" s="24">
        <v>-2.2017956000000002E-2</v>
      </c>
      <c r="N87" s="24">
        <v>6.3325644E-2</v>
      </c>
      <c r="O87" s="24">
        <v>4.5081019999999999E-2</v>
      </c>
      <c r="P87" s="24">
        <v>-0.13537741</v>
      </c>
      <c r="Q87" s="24">
        <v>5.1338673000000001E-2</v>
      </c>
      <c r="R87" s="24">
        <v>-7.5384974E-3</v>
      </c>
      <c r="S87" s="24">
        <v>8.2217929999999995E-2</v>
      </c>
      <c r="T87" s="24">
        <v>4.6410439999999997E-2</v>
      </c>
      <c r="U87" s="24">
        <v>3.9241909999999998E-2</v>
      </c>
      <c r="V87" s="24">
        <v>6.5727710000000009E-2</v>
      </c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</row>
    <row r="88" spans="1:38" x14ac:dyDescent="0.35">
      <c r="A88" s="2">
        <v>44456</v>
      </c>
      <c r="B88" s="24">
        <v>4.0341615999999999E-3</v>
      </c>
      <c r="C88" s="24">
        <v>1.5642404999999998E-2</v>
      </c>
      <c r="D88" s="24">
        <v>3.4046769999999997E-2</v>
      </c>
      <c r="E88" s="24">
        <v>4.4596910000000003E-2</v>
      </c>
      <c r="F88" s="24">
        <v>5.2815320000000006E-2</v>
      </c>
      <c r="G88" s="24">
        <v>0.11993313</v>
      </c>
      <c r="H88" s="24">
        <v>3.8913608000000002E-2</v>
      </c>
      <c r="I88" s="24">
        <v>6.6522956000000008E-2</v>
      </c>
      <c r="J88" s="24">
        <v>1.8025397999999998E-2</v>
      </c>
      <c r="K88" s="24">
        <v>9.6392630000000003E-4</v>
      </c>
      <c r="L88" s="24">
        <v>-3.3662200000000003E-2</v>
      </c>
      <c r="M88" s="24">
        <v>8.7431669999999996E-3</v>
      </c>
      <c r="N88" s="24">
        <v>3.8363100000000004E-2</v>
      </c>
      <c r="O88" s="24">
        <v>7.6553464000000002E-2</v>
      </c>
      <c r="P88" s="24">
        <v>3.5462022000000003E-2</v>
      </c>
      <c r="Q88" s="24">
        <v>1.3899803E-3</v>
      </c>
      <c r="R88" s="24">
        <v>5.2691220000000004E-2</v>
      </c>
      <c r="S88" s="24">
        <v>-1.7226100000000001E-2</v>
      </c>
      <c r="T88" s="24">
        <v>4.8322915999999994E-2</v>
      </c>
      <c r="U88" s="24">
        <v>1.9265293999999999E-2</v>
      </c>
      <c r="V88" s="24">
        <v>2.0313262999999998E-2</v>
      </c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</row>
    <row r="89" spans="1:38" x14ac:dyDescent="0.35">
      <c r="A89" s="2">
        <v>44488</v>
      </c>
      <c r="B89" s="24">
        <v>3.6246777000000001E-2</v>
      </c>
      <c r="C89" s="24">
        <v>-0.11477816</v>
      </c>
      <c r="D89" s="24">
        <v>0.1627469</v>
      </c>
      <c r="E89" s="24">
        <v>7.2906374999999995E-2</v>
      </c>
      <c r="F89" s="24">
        <v>5.1933646E-2</v>
      </c>
      <c r="G89" s="24">
        <v>0.133582115</v>
      </c>
      <c r="H89" s="24">
        <v>5.1892279999999999E-2</v>
      </c>
      <c r="I89" s="24">
        <v>-2.4731695999999997E-2</v>
      </c>
      <c r="J89" s="24">
        <v>3.8229227000000001E-3</v>
      </c>
      <c r="K89" s="24">
        <v>-2.38325E-2</v>
      </c>
      <c r="L89" s="24">
        <v>-5.6756735000000003E-2</v>
      </c>
      <c r="M89" s="24">
        <v>8.5590360000000004E-2</v>
      </c>
      <c r="N89" s="24">
        <v>-4.9437283999999998E-3</v>
      </c>
      <c r="O89" s="24">
        <v>2.1099686999999999E-2</v>
      </c>
      <c r="P89" s="24">
        <v>5.2822469999999996E-2</v>
      </c>
      <c r="Q89" s="24">
        <v>5.2684902999999998E-2</v>
      </c>
      <c r="R89" s="24">
        <v>2.91574E-3</v>
      </c>
      <c r="S89" s="24">
        <v>-6.6966295000000009E-2</v>
      </c>
      <c r="T89" s="24">
        <v>-3.1882763000000001E-2</v>
      </c>
      <c r="U89" s="24">
        <v>-6.5524579999999997E-3</v>
      </c>
      <c r="V89" s="24">
        <v>4.5814395000000001E-2</v>
      </c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</row>
    <row r="90" spans="1:38" x14ac:dyDescent="0.35">
      <c r="A90" s="2">
        <v>44519</v>
      </c>
      <c r="B90" s="24">
        <v>-1.2398659999999999E-2</v>
      </c>
      <c r="C90" s="24">
        <v>5.4266810000000006E-2</v>
      </c>
      <c r="D90" s="24">
        <v>-4.1666626999999998E-2</v>
      </c>
      <c r="E90" s="24">
        <v>-1.1937559E-2</v>
      </c>
      <c r="F90" s="24">
        <v>-0.12815124</v>
      </c>
      <c r="G90" s="24">
        <v>-3.1682014000000001E-2</v>
      </c>
      <c r="H90" s="24">
        <v>-6.6765546999999995E-2</v>
      </c>
      <c r="I90" s="24">
        <v>5.5821300000000004E-2</v>
      </c>
      <c r="J90" s="24">
        <v>-5.2515507000000003E-2</v>
      </c>
      <c r="K90" s="24">
        <v>-3.2922267999999998E-2</v>
      </c>
      <c r="L90" s="24">
        <v>-7.1314870000000002E-2</v>
      </c>
      <c r="M90" s="24">
        <v>-7.6047840000000005E-2</v>
      </c>
      <c r="N90" s="24">
        <v>-2.3674309999999997E-2</v>
      </c>
      <c r="O90" s="24">
        <v>-1.5299022000000001E-2</v>
      </c>
      <c r="P90" s="24">
        <v>-5.3342580000000001E-2</v>
      </c>
      <c r="Q90" s="24">
        <v>1.7805576E-2</v>
      </c>
      <c r="R90" s="24">
        <v>8.9979169999999994E-3</v>
      </c>
      <c r="S90" s="24">
        <v>1.5895962999999999E-2</v>
      </c>
      <c r="T90" s="24">
        <v>0.13499486999999999</v>
      </c>
      <c r="U90" s="24">
        <v>4.2110679999999998E-2</v>
      </c>
      <c r="V90" s="24">
        <v>-1.3532101999999999E-2</v>
      </c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</row>
    <row r="91" spans="1:38" x14ac:dyDescent="0.35">
      <c r="A91" s="2">
        <v>44547</v>
      </c>
      <c r="B91" s="24">
        <v>1.3639091999999998E-2</v>
      </c>
      <c r="C91" s="24">
        <v>-2.201879E-2</v>
      </c>
      <c r="D91" s="24">
        <v>-3.1192958000000003E-2</v>
      </c>
      <c r="E91" s="24">
        <v>1.2694358999999999E-2</v>
      </c>
      <c r="F91" s="24">
        <v>-2.4328172000000002E-2</v>
      </c>
      <c r="G91" s="24">
        <v>-2.1065712E-2</v>
      </c>
      <c r="H91" s="24">
        <v>-2.7066528999999999E-2</v>
      </c>
      <c r="I91" s="24">
        <v>1.2984276E-3</v>
      </c>
      <c r="J91" s="24">
        <v>4.7634480000000007E-2</v>
      </c>
      <c r="K91" s="24">
        <v>2.3334621999999999E-2</v>
      </c>
      <c r="L91" s="24">
        <v>3.7571430000000003E-2</v>
      </c>
      <c r="M91" s="24">
        <v>-7.7894330000000001E-3</v>
      </c>
      <c r="N91" s="24">
        <v>-4.2375984000000005E-2</v>
      </c>
      <c r="O91" s="24">
        <v>-5.5529536999999997E-2</v>
      </c>
      <c r="P91" s="24">
        <v>-8.9244179999999992E-2</v>
      </c>
      <c r="Q91" s="24">
        <v>-4.0257635E-2</v>
      </c>
      <c r="R91" s="24">
        <v>-2.0242929999999999E-3</v>
      </c>
      <c r="S91" s="24">
        <v>-0.18509219999999998</v>
      </c>
      <c r="T91" s="24">
        <v>5.0015570000000002E-2</v>
      </c>
      <c r="U91" s="24">
        <v>1.1197686E-2</v>
      </c>
      <c r="V91" s="24">
        <v>-4.5285939999999997E-2</v>
      </c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</row>
    <row r="92" spans="1:38" x14ac:dyDescent="0.35">
      <c r="A92" s="2">
        <v>44580</v>
      </c>
      <c r="B92" s="24">
        <v>-3.4260810000000003E-2</v>
      </c>
      <c r="C92" s="24">
        <v>5.9449673000000001E-2</v>
      </c>
      <c r="D92" s="24">
        <v>1.2724876000000001E-2</v>
      </c>
      <c r="E92" s="24">
        <v>-3.8685918E-2</v>
      </c>
      <c r="F92" s="24">
        <v>9.5856189999999994E-2</v>
      </c>
      <c r="G92" s="24">
        <v>0.21222888999999998</v>
      </c>
      <c r="H92" s="24">
        <v>3.6286829999999999E-2</v>
      </c>
      <c r="I92" s="24">
        <v>3.2088040999999998E-2</v>
      </c>
      <c r="J92" s="24">
        <v>2.2322297000000001E-2</v>
      </c>
      <c r="K92" s="24">
        <v>-3.4873306999999999E-2</v>
      </c>
      <c r="L92" s="24">
        <v>6.2638879999999994E-2</v>
      </c>
      <c r="M92" s="24">
        <v>9.018922E-2</v>
      </c>
      <c r="N92" s="24">
        <v>9.4897510000000004E-2</v>
      </c>
      <c r="O92" s="24">
        <v>7.1417690000000006E-2</v>
      </c>
      <c r="P92" s="24">
        <v>1.7716169E-2</v>
      </c>
      <c r="Q92" s="24">
        <v>8.5177900000000001E-2</v>
      </c>
      <c r="R92" s="24">
        <v>1.0056496E-2</v>
      </c>
      <c r="S92" s="24">
        <v>0.20338975999999998</v>
      </c>
      <c r="T92" s="24">
        <v>-3.9021552000000001E-2</v>
      </c>
      <c r="U92" s="24">
        <v>-4.4350265999999999E-2</v>
      </c>
      <c r="V92" s="24">
        <v>0.10245824000000001</v>
      </c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</row>
    <row r="93" spans="1:38" x14ac:dyDescent="0.35">
      <c r="A93" s="2">
        <v>44610</v>
      </c>
      <c r="B93" s="24">
        <v>-2.9761909999999999E-2</v>
      </c>
      <c r="C93" s="24">
        <v>1.2142539000000001E-2</v>
      </c>
      <c r="D93" s="24">
        <v>3.9861320999999998E-2</v>
      </c>
      <c r="E93" s="24">
        <v>4.3117284999999998E-2</v>
      </c>
      <c r="F93" s="24">
        <v>-7.7904344E-2</v>
      </c>
      <c r="G93" s="24">
        <v>1.2316822999999999E-2</v>
      </c>
      <c r="H93" s="24">
        <v>4.4788240000000007E-2</v>
      </c>
      <c r="I93" s="24">
        <v>-1.6821921E-2</v>
      </c>
      <c r="J93" s="24">
        <v>5.8093070000000005E-3</v>
      </c>
      <c r="K93" s="24">
        <v>-3.7584065999999999E-2</v>
      </c>
      <c r="L93" s="24">
        <v>0.10137164999999999</v>
      </c>
      <c r="M93" s="24">
        <v>5.4681179999999996E-2</v>
      </c>
      <c r="N93" s="24">
        <v>2.6473759999999999E-2</v>
      </c>
      <c r="O93" s="24">
        <v>-5.2877482999999996E-2</v>
      </c>
      <c r="P93" s="24">
        <v>-2.5636969999999999E-2</v>
      </c>
      <c r="Q93" s="24">
        <v>3.1232834000000001E-2</v>
      </c>
      <c r="R93" s="24">
        <v>3.3143520000000003E-2</v>
      </c>
      <c r="S93" s="24">
        <v>-2.2826552000000003E-2</v>
      </c>
      <c r="T93" s="24">
        <v>3.2727360000000004E-2</v>
      </c>
      <c r="U93" s="24">
        <v>2.0253657999999997E-3</v>
      </c>
      <c r="V93" s="24">
        <v>1.5572905999999999E-2</v>
      </c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</row>
    <row r="94" spans="1:38" x14ac:dyDescent="0.35">
      <c r="A94" s="2">
        <v>44638</v>
      </c>
      <c r="B94" s="24">
        <v>-6.723928500000001E-2</v>
      </c>
      <c r="C94" s="24">
        <v>8.9396240000000002E-2</v>
      </c>
      <c r="D94" s="24">
        <v>1.8333315999999999E-2</v>
      </c>
      <c r="E94" s="24">
        <v>-7.8383327000000003E-2</v>
      </c>
      <c r="F94" s="24">
        <v>-8.00395E-2</v>
      </c>
      <c r="G94" s="24">
        <v>6.5179585999999998E-2</v>
      </c>
      <c r="H94" s="24">
        <v>-3.8969517000000004E-4</v>
      </c>
      <c r="I94" s="24">
        <v>-4.4912870000000001E-2</v>
      </c>
      <c r="J94" s="24">
        <v>4.7400950000000004E-2</v>
      </c>
      <c r="K94" s="24">
        <v>-2.0279585999999999E-2</v>
      </c>
      <c r="L94" s="24">
        <v>5.2551746000000003E-2</v>
      </c>
      <c r="M94" s="24">
        <v>4.4958829999999998E-2</v>
      </c>
      <c r="N94" s="24">
        <v>-9.4566709999999998E-2</v>
      </c>
      <c r="O94" s="24">
        <v>3.3632517000000001E-3</v>
      </c>
      <c r="P94" s="24">
        <v>-0.10573328</v>
      </c>
      <c r="Q94" s="24">
        <v>5.4309130000000004E-2</v>
      </c>
      <c r="R94" s="24">
        <v>-2.0248651999999999E-2</v>
      </c>
      <c r="S94" s="24">
        <v>-3.0815125000000002E-2</v>
      </c>
      <c r="T94" s="24">
        <v>6.9835543999999999E-2</v>
      </c>
      <c r="U94" s="24">
        <v>-4.7498760000000001E-2</v>
      </c>
      <c r="V94" s="24">
        <v>3.3954023999999999E-2</v>
      </c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</row>
    <row r="95" spans="1:38" x14ac:dyDescent="0.35">
      <c r="A95" s="2">
        <v>44670</v>
      </c>
      <c r="B95" s="24">
        <v>-5.9458016999999995E-2</v>
      </c>
      <c r="C95" s="24">
        <v>-1.0657191E-2</v>
      </c>
      <c r="D95" s="24">
        <v>2.4549961000000001E-3</v>
      </c>
      <c r="E95" s="24">
        <v>-2.9900670000000003E-3</v>
      </c>
      <c r="F95" s="24">
        <v>-1.9334077999999998E-2</v>
      </c>
      <c r="G95" s="24">
        <v>-5.3848209999999994E-2</v>
      </c>
      <c r="H95" s="24">
        <v>-1.1305987999999999E-2</v>
      </c>
      <c r="I95" s="24">
        <v>-7.1497144999999998E-2</v>
      </c>
      <c r="J95" s="24">
        <v>1.1218905E-2</v>
      </c>
      <c r="K95" s="24">
        <v>-3.2587410000000004E-2</v>
      </c>
      <c r="L95" s="24">
        <v>7.301581E-2</v>
      </c>
      <c r="M95" s="24">
        <v>-4.96155E-2</v>
      </c>
      <c r="N95" s="24">
        <v>5.469048E-2</v>
      </c>
      <c r="O95" s="24">
        <v>-1.2737453000000001E-2</v>
      </c>
      <c r="P95" s="24">
        <v>-6.5383253000000002E-2</v>
      </c>
      <c r="Q95" s="24">
        <v>2.7633905E-2</v>
      </c>
      <c r="R95" s="24">
        <v>-1.7217994000000001E-3</v>
      </c>
      <c r="S95" s="24">
        <v>0.20769225999999999</v>
      </c>
      <c r="T95" s="24">
        <v>4.1689515000000003E-2</v>
      </c>
      <c r="U95" s="24">
        <v>-6.100792E-2</v>
      </c>
      <c r="V95" s="24">
        <v>6.3559294000000002E-2</v>
      </c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</row>
    <row r="96" spans="1:38" x14ac:dyDescent="0.35">
      <c r="A96" s="2">
        <v>44700</v>
      </c>
      <c r="B96" s="24">
        <v>-6.097901E-2</v>
      </c>
      <c r="C96" s="24">
        <v>3.2316445999999999E-3</v>
      </c>
      <c r="D96" s="24">
        <v>-3.4285724000000004E-2</v>
      </c>
      <c r="E96" s="24">
        <v>-3.7987291999999999E-2</v>
      </c>
      <c r="F96" s="24">
        <v>-0.14676892999999999</v>
      </c>
      <c r="G96" s="24">
        <v>-0.15176778999999999</v>
      </c>
      <c r="H96" s="24">
        <v>-5.4810762000000006E-2</v>
      </c>
      <c r="I96" s="24">
        <v>-6.7700266999999995E-2</v>
      </c>
      <c r="J96" s="24">
        <v>-4.5693874000000002E-2</v>
      </c>
      <c r="K96" s="24">
        <v>-5.3491353999999998E-2</v>
      </c>
      <c r="L96" s="24">
        <v>-0.11726737</v>
      </c>
      <c r="M96" s="24">
        <v>-0.11404346999999999</v>
      </c>
      <c r="N96" s="24">
        <v>-9.2905999999999989E-2</v>
      </c>
      <c r="O96" s="24">
        <v>-7.7184258000000006E-2</v>
      </c>
      <c r="P96" s="24">
        <v>-3.6727547999999999E-2</v>
      </c>
      <c r="Q96" s="24">
        <v>-6.9682179999999996E-2</v>
      </c>
      <c r="R96" s="24">
        <v>-4.1560769999999997E-2</v>
      </c>
      <c r="S96" s="24">
        <v>-0.12526535999999999</v>
      </c>
      <c r="T96" s="24">
        <v>-9.0573970000000004E-2</v>
      </c>
      <c r="U96" s="24">
        <v>-0.11864406000000001</v>
      </c>
      <c r="V96" s="24">
        <v>-9.9601559999999992E-2</v>
      </c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</row>
    <row r="97" spans="1:38" x14ac:dyDescent="0.35">
      <c r="A97" s="2">
        <v>44729</v>
      </c>
      <c r="B97" s="24">
        <v>8.6929560000000003E-2</v>
      </c>
      <c r="C97" s="24">
        <v>-4.0293216999999999E-2</v>
      </c>
      <c r="D97" s="24">
        <v>-3.0471325E-2</v>
      </c>
      <c r="E97" s="24">
        <v>-8.0042719999999998E-2</v>
      </c>
      <c r="F97" s="24">
        <v>-5.9554935000000003E-2</v>
      </c>
      <c r="G97" s="24">
        <v>-2.1426916000000001E-2</v>
      </c>
      <c r="H97" s="24">
        <v>-6.8102836999999999E-2</v>
      </c>
      <c r="I97" s="24">
        <v>-3.2889843000000002E-2</v>
      </c>
      <c r="J97" s="24">
        <v>-8.3493890000000001E-2</v>
      </c>
      <c r="K97" s="24">
        <v>-8.8131959999999995E-2</v>
      </c>
      <c r="L97" s="24">
        <v>-0.10878765</v>
      </c>
      <c r="M97" s="24">
        <v>-6.0528935999999998E-2</v>
      </c>
      <c r="N97" s="24">
        <v>-5.5180670000000001E-2</v>
      </c>
      <c r="O97" s="24">
        <v>-4.8933030000000002E-2</v>
      </c>
      <c r="P97" s="24">
        <v>7.0987104999999995E-2</v>
      </c>
      <c r="Q97" s="24">
        <v>-4.1700720000000004E-2</v>
      </c>
      <c r="R97" s="24">
        <v>-2.9010296000000001E-2</v>
      </c>
      <c r="S97" s="24">
        <v>-3.8015604000000001E-2</v>
      </c>
      <c r="T97" s="24">
        <v>-6.0822725000000001E-2</v>
      </c>
      <c r="U97" s="24">
        <v>-5.0000070000000001E-2</v>
      </c>
      <c r="V97" s="24">
        <v>-5.6142450000000003E-2</v>
      </c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</row>
    <row r="98" spans="1:38" x14ac:dyDescent="0.35">
      <c r="A98" s="2">
        <v>44761</v>
      </c>
      <c r="B98" s="24">
        <v>-6.8643690000000004E-3</v>
      </c>
      <c r="C98" s="24">
        <v>-2.9092311999999999E-2</v>
      </c>
      <c r="D98" s="24">
        <v>-2.2104322999999999E-2</v>
      </c>
      <c r="E98" s="24">
        <v>-3.9428591999999998E-2</v>
      </c>
      <c r="F98" s="24">
        <v>-4.0633619999999995E-2</v>
      </c>
      <c r="G98" s="24">
        <v>-0.10017956</v>
      </c>
      <c r="H98" s="24">
        <v>-1.4618516E-2</v>
      </c>
      <c r="I98" s="24">
        <v>-3.515476E-2</v>
      </c>
      <c r="J98" s="24">
        <v>-3.2744408000000003E-3</v>
      </c>
      <c r="K98" s="24">
        <v>-1.6917944000000001E-2</v>
      </c>
      <c r="L98" s="24">
        <v>-5.9455575999999996E-2</v>
      </c>
      <c r="M98" s="24">
        <v>-3.2418309999999999E-2</v>
      </c>
      <c r="N98" s="24">
        <v>-3.8729131E-2</v>
      </c>
      <c r="O98" s="24">
        <v>5.0676940000000004E-2</v>
      </c>
      <c r="P98" s="24">
        <v>-2.8419495E-3</v>
      </c>
      <c r="Q98" s="24">
        <v>-1.4990270000000002E-2</v>
      </c>
      <c r="R98" s="24">
        <v>-1.6647518E-2</v>
      </c>
      <c r="S98" s="24">
        <v>-2.6466012000000001E-2</v>
      </c>
      <c r="T98" s="24">
        <v>-1.5132368E-2</v>
      </c>
      <c r="U98" s="24">
        <v>-2.0242870000000003E-2</v>
      </c>
      <c r="V98" s="24">
        <v>1.6528367999999998E-3</v>
      </c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</row>
    <row r="99" spans="1:38" x14ac:dyDescent="0.35">
      <c r="A99" s="2">
        <v>44792</v>
      </c>
      <c r="B99" s="24">
        <v>-3.8429617999999999E-2</v>
      </c>
      <c r="C99" s="24">
        <v>2.6767850000000003E-2</v>
      </c>
      <c r="D99" s="24">
        <v>6.7359804999999995E-2</v>
      </c>
      <c r="E99" s="24">
        <v>9.8155859999999998E-2</v>
      </c>
      <c r="F99" s="24">
        <v>-1.7229080000000001E-2</v>
      </c>
      <c r="G99" s="24">
        <v>4.2298555000000002E-2</v>
      </c>
      <c r="H99" s="24">
        <v>4.1260960000000006E-2</v>
      </c>
      <c r="I99" s="24">
        <v>3.3663392E-2</v>
      </c>
      <c r="J99" s="24">
        <v>4.0297866000000002E-2</v>
      </c>
      <c r="K99" s="24">
        <v>3.9188862E-3</v>
      </c>
      <c r="L99" s="24">
        <v>0.18697643</v>
      </c>
      <c r="M99" s="24">
        <v>2.5678635000000002E-2</v>
      </c>
      <c r="N99" s="24">
        <v>9.0271709999999991E-2</v>
      </c>
      <c r="O99" s="24">
        <v>6.2837480000000001E-2</v>
      </c>
      <c r="P99" s="24">
        <v>-7.9042376999999997E-2</v>
      </c>
      <c r="Q99" s="24">
        <v>0.13106096</v>
      </c>
      <c r="R99" s="24">
        <v>6.0315729999999998E-2</v>
      </c>
      <c r="S99" s="24">
        <v>0.15618335999999999</v>
      </c>
      <c r="T99" s="24">
        <v>6.5941095000000005E-2</v>
      </c>
      <c r="U99" s="24">
        <v>6.4049480000000006E-2</v>
      </c>
      <c r="V99" s="24">
        <v>7.6850652999999991E-2</v>
      </c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</row>
    <row r="100" spans="1:38" x14ac:dyDescent="0.35">
      <c r="A100" s="2">
        <v>44823</v>
      </c>
      <c r="B100" s="24">
        <v>-7.3318005000000006E-2</v>
      </c>
      <c r="C100" s="24">
        <v>6.0700417E-2</v>
      </c>
      <c r="D100" s="24">
        <v>4.2354940000000001E-2</v>
      </c>
      <c r="E100" s="24">
        <v>-8.6673849999999997E-2</v>
      </c>
      <c r="F100" s="24">
        <v>-7.9620123000000001E-2</v>
      </c>
      <c r="G100" s="24">
        <v>-8.4227324000000006E-3</v>
      </c>
      <c r="H100" s="24">
        <v>-4.1406869999999998E-2</v>
      </c>
      <c r="I100" s="24">
        <v>-8.5440580000000002E-2</v>
      </c>
      <c r="J100" s="24">
        <v>-1.8947423000000001E-2</v>
      </c>
      <c r="K100" s="24">
        <v>-7.8241643999999999E-2</v>
      </c>
      <c r="L100" s="24">
        <v>3.2082796000000003E-3</v>
      </c>
      <c r="M100" s="24">
        <v>-7.8445315000000002E-2</v>
      </c>
      <c r="N100" s="24">
        <v>-5.6270065000000001E-2</v>
      </c>
      <c r="O100" s="24">
        <v>6.0046909999999995E-3</v>
      </c>
      <c r="P100" s="24">
        <v>-4.4770000000000004E-2</v>
      </c>
      <c r="Q100" s="24">
        <v>-7.2580633000000006E-2</v>
      </c>
      <c r="R100" s="24">
        <v>3.4749507999999999E-3</v>
      </c>
      <c r="S100" s="24">
        <v>5.5786014000000002E-2</v>
      </c>
      <c r="T100" s="24">
        <v>-2.5825858E-2</v>
      </c>
      <c r="U100" s="24">
        <v>-6.9902897000000006E-2</v>
      </c>
      <c r="V100" s="24">
        <v>-8.9754760000000003E-2</v>
      </c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</row>
    <row r="101" spans="1:38" x14ac:dyDescent="0.35">
      <c r="A101" s="2">
        <v>44853</v>
      </c>
      <c r="B101" s="24">
        <v>-7.2913465000000011E-2</v>
      </c>
      <c r="C101" s="24">
        <v>-0.12802643</v>
      </c>
      <c r="D101" s="24">
        <v>-7.7610730000000003E-2</v>
      </c>
      <c r="E101" s="24">
        <v>-7.5523972999999994E-2</v>
      </c>
      <c r="F101" s="24">
        <v>-0.12380958</v>
      </c>
      <c r="G101" s="24">
        <v>-2.9343664999999998E-2</v>
      </c>
      <c r="H101" s="24">
        <v>-6.2238749999999995E-2</v>
      </c>
      <c r="I101" s="24">
        <v>-0.13175534999999999</v>
      </c>
      <c r="J101" s="24">
        <v>-1.2446284E-2</v>
      </c>
      <c r="K101" s="24">
        <v>-8.7645050000000002E-2</v>
      </c>
      <c r="L101" s="24">
        <v>3.229928E-2</v>
      </c>
      <c r="M101" s="24">
        <v>-3.7257493000000003E-2</v>
      </c>
      <c r="N101" s="24">
        <v>-1.8313467999999999E-2</v>
      </c>
      <c r="O101" s="24">
        <v>-6.4738273999999998E-2</v>
      </c>
      <c r="P101" s="24">
        <v>-0.15118790000000001</v>
      </c>
      <c r="Q101" s="24">
        <v>-1.7391324E-2</v>
      </c>
      <c r="R101" s="24">
        <v>-2.6263057999999999E-2</v>
      </c>
      <c r="S101" s="24">
        <v>0.17860258000000001</v>
      </c>
      <c r="T101" s="24">
        <v>-5.7336570000000003E-2</v>
      </c>
      <c r="U101" s="24">
        <v>-0.14961725000000001</v>
      </c>
      <c r="V101" s="24">
        <v>3.9923071999999997E-2</v>
      </c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</row>
    <row r="102" spans="1:38" x14ac:dyDescent="0.35">
      <c r="A102" s="2">
        <v>44883</v>
      </c>
      <c r="B102" s="24">
        <v>3.5036921999999998E-2</v>
      </c>
      <c r="C102" s="24">
        <v>5.8056355000000004E-2</v>
      </c>
      <c r="D102" s="24">
        <v>2.1585941000000001E-2</v>
      </c>
      <c r="E102" s="24">
        <v>8.6826319999999999E-2</v>
      </c>
      <c r="F102" s="24">
        <v>0.30978262000000001</v>
      </c>
      <c r="G102" s="24">
        <v>0.14797139000000001</v>
      </c>
      <c r="H102" s="24">
        <v>7.2312950000000001E-2</v>
      </c>
      <c r="I102" s="24">
        <v>0.17273818999999999</v>
      </c>
      <c r="J102" s="24">
        <v>0.15927851000000001</v>
      </c>
      <c r="K102" s="24">
        <v>0.17154396</v>
      </c>
      <c r="L102" s="24">
        <v>-8.7050800000000012E-2</v>
      </c>
      <c r="M102" s="24">
        <v>0.16769694999999998</v>
      </c>
      <c r="N102" s="24">
        <v>0.10759221999999999</v>
      </c>
      <c r="O102" s="24">
        <v>5.3755520000000001E-2</v>
      </c>
      <c r="P102" s="24">
        <v>0.12111961</v>
      </c>
      <c r="Q102" s="24">
        <v>-2.8518796000000003E-2</v>
      </c>
      <c r="R102" s="24">
        <v>1.8039703000000001E-2</v>
      </c>
      <c r="S102" s="24">
        <v>0.11893295999999999</v>
      </c>
      <c r="T102" s="24">
        <v>2.0274758E-2</v>
      </c>
      <c r="U102" s="24">
        <v>-6.8739770000000006E-2</v>
      </c>
      <c r="V102" s="24">
        <v>-6.0592116999999994E-2</v>
      </c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24"/>
    </row>
    <row r="103" spans="1:38" x14ac:dyDescent="0.35">
      <c r="A103" s="2">
        <v>44914</v>
      </c>
      <c r="B103" s="24">
        <v>2.8137802999999999E-2</v>
      </c>
      <c r="C103" s="24">
        <v>3.7969231999999999E-2</v>
      </c>
      <c r="D103" s="24">
        <v>-9.0692042999999996E-3</v>
      </c>
      <c r="E103" s="24">
        <v>1.0185360999999999E-2</v>
      </c>
      <c r="F103" s="24">
        <v>4.1469930000000002E-2</v>
      </c>
      <c r="G103" s="24">
        <v>-2.4727762E-2</v>
      </c>
      <c r="H103" s="24">
        <v>4.5124053999999997E-2</v>
      </c>
      <c r="I103" s="24">
        <v>-7.2327255999999999E-3</v>
      </c>
      <c r="J103" s="24">
        <v>-4.1493773000000005E-2</v>
      </c>
      <c r="K103" s="24">
        <v>-1.2433112E-2</v>
      </c>
      <c r="L103" s="24">
        <v>-2.1951675E-2</v>
      </c>
      <c r="M103" s="24">
        <v>-1.3228535999999999E-2</v>
      </c>
      <c r="N103" s="24">
        <v>4.8570275000000003E-2</v>
      </c>
      <c r="O103" s="24">
        <v>-9.5504520000000009E-3</v>
      </c>
      <c r="P103" s="24">
        <v>8.1842059999999994E-2</v>
      </c>
      <c r="Q103" s="24">
        <v>-9.1949580000000003E-2</v>
      </c>
      <c r="R103" s="24">
        <v>5.0699710000000006E-4</v>
      </c>
      <c r="S103" s="24">
        <v>0.21064556000000001</v>
      </c>
      <c r="T103" s="24">
        <v>-2.0302832E-2</v>
      </c>
      <c r="U103" s="24">
        <v>7.7381252999999997E-2</v>
      </c>
      <c r="V103" s="24">
        <v>-8.6306689999999991E-2</v>
      </c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</row>
    <row r="104" spans="1:38" x14ac:dyDescent="0.35">
      <c r="A104" s="2">
        <v>44945</v>
      </c>
      <c r="B104" s="24">
        <v>0.10502254499999999</v>
      </c>
      <c r="C104" s="24">
        <v>7.2298645999999994E-2</v>
      </c>
      <c r="D104" s="24">
        <v>2.1977425000000001E-3</v>
      </c>
      <c r="E104" s="24">
        <v>0.13502943000000001</v>
      </c>
      <c r="F104" s="24">
        <v>0.11351347000000001</v>
      </c>
      <c r="G104" s="24">
        <v>0.13449025000000001</v>
      </c>
      <c r="H104" s="24">
        <v>5.3101299999999997E-2</v>
      </c>
      <c r="I104" s="24">
        <v>6.0405970000000003E-2</v>
      </c>
      <c r="J104" s="24">
        <v>0.11774087</v>
      </c>
      <c r="K104" s="24">
        <v>9.744035999999999E-2</v>
      </c>
      <c r="L104" s="24">
        <v>0.10231519</v>
      </c>
      <c r="M104" s="24">
        <v>7.8143477000000003E-2</v>
      </c>
      <c r="N104" s="24">
        <v>9.0369110000000002E-2</v>
      </c>
      <c r="O104" s="24">
        <v>-2.3525952999999997E-4</v>
      </c>
      <c r="P104" s="24">
        <v>0.13966358000000001</v>
      </c>
      <c r="Q104" s="24">
        <v>-4.7821403000000004E-3</v>
      </c>
      <c r="R104" s="24">
        <v>4.3431043999999995E-2</v>
      </c>
      <c r="S104" s="24">
        <v>2.4739504000000001E-3</v>
      </c>
      <c r="T104" s="24">
        <v>-1.4426231000000001E-2</v>
      </c>
      <c r="U104" s="24">
        <v>6.1209800000000002E-2</v>
      </c>
      <c r="V104" s="24">
        <v>5.6644797000000004E-2</v>
      </c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</row>
    <row r="105" spans="1:38" x14ac:dyDescent="0.35">
      <c r="A105" s="2">
        <v>44974</v>
      </c>
      <c r="B105" s="24">
        <v>-4.6644449999999997E-2</v>
      </c>
      <c r="C105" s="24">
        <v>7.2737217000000007E-2</v>
      </c>
      <c r="D105" s="24">
        <v>1.6666770000000001E-2</v>
      </c>
      <c r="E105" s="24">
        <v>-4.5172395999999997E-2</v>
      </c>
      <c r="F105" s="24">
        <v>-3.3980547999999999E-2</v>
      </c>
      <c r="G105" s="24">
        <v>-5.6724014000000003E-2</v>
      </c>
      <c r="H105" s="24">
        <v>-4.4491586999999999E-2</v>
      </c>
      <c r="I105" s="24">
        <v>2.3754596999999999E-2</v>
      </c>
      <c r="J105" s="24">
        <v>4.5170545999999999E-2</v>
      </c>
      <c r="K105" s="24">
        <v>-2.0588696E-2</v>
      </c>
      <c r="L105" s="24">
        <v>-2.8116523999999997E-2</v>
      </c>
      <c r="M105" s="24">
        <v>-6.1717510000000003E-2</v>
      </c>
      <c r="N105" s="24">
        <v>0.128998165</v>
      </c>
      <c r="O105" s="24">
        <v>-5.1517250000000001E-2</v>
      </c>
      <c r="P105" s="24">
        <v>-6.1460790000000001E-2</v>
      </c>
      <c r="Q105" s="24">
        <v>-2.4559497999999999E-2</v>
      </c>
      <c r="R105" s="24">
        <v>-2.1800636999999998E-2</v>
      </c>
      <c r="S105" s="24">
        <v>-6.5807580000000004E-2</v>
      </c>
      <c r="T105" s="24">
        <v>-6.6533089999999996E-3</v>
      </c>
      <c r="U105" s="24">
        <v>-7.8355309999999997E-2</v>
      </c>
      <c r="V105" s="24">
        <v>-2.190715E-2</v>
      </c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</row>
    <row r="106" spans="1:38" x14ac:dyDescent="0.35">
      <c r="A106" s="2">
        <v>45002</v>
      </c>
      <c r="B106" s="24">
        <v>-3.1192660000000001E-2</v>
      </c>
      <c r="C106" s="24">
        <v>-8.7617449999999999E-2</v>
      </c>
      <c r="D106" s="24">
        <v>-5.0905943000000002E-2</v>
      </c>
      <c r="E106" s="24">
        <v>-5.5615783000000002E-2</v>
      </c>
      <c r="F106" s="24">
        <v>-9.3592939999999999E-2</v>
      </c>
      <c r="G106" s="24">
        <v>-3.5810768999999999E-2</v>
      </c>
      <c r="H106" s="24">
        <v>-5.2771569999999997E-2</v>
      </c>
      <c r="I106" s="24">
        <v>-1.8472611999999999E-2</v>
      </c>
      <c r="J106" s="24">
        <v>-6.7475259999999995E-2</v>
      </c>
      <c r="K106" s="24">
        <v>-4.2042970000000006E-2</v>
      </c>
      <c r="L106" s="24">
        <v>-8.0515919999999991E-2</v>
      </c>
      <c r="M106" s="24">
        <v>-8.263116999999999E-2</v>
      </c>
      <c r="N106" s="24">
        <v>-0.10242838000000001</v>
      </c>
      <c r="O106" s="24">
        <v>-4.8115069999999996E-2</v>
      </c>
      <c r="P106" s="24">
        <v>-6.3694295999999997E-2</v>
      </c>
      <c r="Q106" s="24">
        <v>-4.214561E-2</v>
      </c>
      <c r="R106" s="24">
        <v>-5.3279399999999998E-2</v>
      </c>
      <c r="S106" s="24">
        <v>2.8764248000000003E-2</v>
      </c>
      <c r="T106" s="24">
        <v>-8.1714690000000006E-2</v>
      </c>
      <c r="U106" s="24">
        <v>-2.1043777E-2</v>
      </c>
      <c r="V106" s="24">
        <v>-5.0592957000000001E-2</v>
      </c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</row>
    <row r="107" spans="1:38" x14ac:dyDescent="0.35">
      <c r="A107" s="2">
        <v>45035</v>
      </c>
      <c r="B107" s="24">
        <v>4.3244959999999999E-2</v>
      </c>
      <c r="C107" s="24">
        <v>9.2849140000000011E-2</v>
      </c>
      <c r="D107" s="24">
        <v>8.0000040000000008E-2</v>
      </c>
      <c r="E107" s="24">
        <v>-1.7973184999999999E-2</v>
      </c>
      <c r="F107" s="24">
        <v>0.18295216</v>
      </c>
      <c r="G107" s="24">
        <v>0.106166725</v>
      </c>
      <c r="H107" s="24">
        <v>3.2771467999999998E-2</v>
      </c>
      <c r="I107" s="24">
        <v>1.7672777000000001E-2</v>
      </c>
      <c r="J107" s="24">
        <v>9.2507720000000002E-2</v>
      </c>
      <c r="K107" s="24">
        <v>6.9089650000000002E-2</v>
      </c>
      <c r="L107" s="24">
        <v>5.2691460000000002E-2</v>
      </c>
      <c r="M107" s="24">
        <v>9.9515199999999998E-2</v>
      </c>
      <c r="N107" s="24">
        <v>0.10822058</v>
      </c>
      <c r="O107" s="24">
        <v>3.7258982999999996E-2</v>
      </c>
      <c r="P107" s="24">
        <v>4.4855474999999999E-2</v>
      </c>
      <c r="Q107" s="24">
        <v>2.3428559999999998E-2</v>
      </c>
      <c r="R107" s="24">
        <v>1.0910153000000001E-2</v>
      </c>
      <c r="S107" s="24">
        <v>-3.2239676000000002E-2</v>
      </c>
      <c r="T107" s="24">
        <v>6.9292426000000004E-2</v>
      </c>
      <c r="U107" s="24">
        <v>2.837491E-2</v>
      </c>
      <c r="V107" s="24">
        <v>0.12628375999999999</v>
      </c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/>
    </row>
    <row r="108" spans="1:38" x14ac:dyDescent="0.35">
      <c r="A108" s="2">
        <v>45065</v>
      </c>
      <c r="B108" s="24">
        <v>-5.9001502999999997E-2</v>
      </c>
      <c r="C108" s="24">
        <v>2.5008560000000003E-2</v>
      </c>
      <c r="D108" s="24">
        <v>-7.1548820000000004E-3</v>
      </c>
      <c r="E108" s="24">
        <v>4.2056084000000001E-2</v>
      </c>
      <c r="F108" s="24">
        <v>5.0380826000000004E-2</v>
      </c>
      <c r="G108" s="24">
        <v>-4.0861549999999996E-2</v>
      </c>
      <c r="H108" s="24">
        <v>-2.2212147999999998E-2</v>
      </c>
      <c r="I108" s="24">
        <v>2.8416752999999999E-2</v>
      </c>
      <c r="J108" s="24">
        <v>2.1797418999999998E-2</v>
      </c>
      <c r="K108" s="24">
        <v>-4.9711466000000003E-3</v>
      </c>
      <c r="L108" s="24">
        <v>7.6341390000000009E-2</v>
      </c>
      <c r="M108" s="24">
        <v>-0.10164774</v>
      </c>
      <c r="N108" s="24">
        <v>1.2519359999999999E-3</v>
      </c>
      <c r="O108" s="24">
        <v>2.6877642E-2</v>
      </c>
      <c r="P108" s="24">
        <v>-5.8799685999999997E-2</v>
      </c>
      <c r="Q108" s="24">
        <v>7.7051996999999997E-2</v>
      </c>
      <c r="R108" s="24">
        <v>-4.1651607000000007E-2</v>
      </c>
      <c r="S108" s="24">
        <v>-0.13266503999999998</v>
      </c>
      <c r="T108" s="24">
        <v>-2.0463466999999999E-3</v>
      </c>
      <c r="U108" s="24">
        <v>3.4280895999999998E-2</v>
      </c>
      <c r="V108" s="24">
        <v>1.9467591999999999E-2</v>
      </c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</row>
    <row r="109" spans="1:38" x14ac:dyDescent="0.35">
      <c r="A109" s="2">
        <v>45093</v>
      </c>
      <c r="B109" s="24">
        <v>-1.8228471E-2</v>
      </c>
      <c r="C109" s="24">
        <v>1.9708276E-2</v>
      </c>
      <c r="D109" s="24">
        <v>4.2910576000000002E-3</v>
      </c>
      <c r="E109" s="24">
        <v>-2.8756439999999998E-2</v>
      </c>
      <c r="F109" s="24">
        <v>7.8081369999999997E-2</v>
      </c>
      <c r="G109" s="24">
        <v>6.3061476000000005E-2</v>
      </c>
      <c r="H109" s="24">
        <v>-3.9493382E-2</v>
      </c>
      <c r="I109" s="24">
        <v>6.25E-2</v>
      </c>
      <c r="J109" s="24">
        <v>5.964005E-2</v>
      </c>
      <c r="K109" s="24">
        <v>7.1394086000000009E-2</v>
      </c>
      <c r="L109" s="24">
        <v>0.10783815000000001</v>
      </c>
      <c r="M109" s="24">
        <v>0.11038864</v>
      </c>
      <c r="N109" s="24">
        <v>0.15317285999999999</v>
      </c>
      <c r="O109" s="24">
        <v>5.7034729999999999E-2</v>
      </c>
      <c r="P109" s="24">
        <v>3.9649009999999998E-2</v>
      </c>
      <c r="Q109" s="24">
        <v>-2.4306296999999998E-2</v>
      </c>
      <c r="R109" s="24">
        <v>2.7744650000000003E-2</v>
      </c>
      <c r="S109" s="24">
        <v>3.2098412999999999E-2</v>
      </c>
      <c r="T109" s="24">
        <v>2.23006E-2</v>
      </c>
      <c r="U109" s="24">
        <v>6.1439037000000002E-2</v>
      </c>
      <c r="V109" s="24">
        <v>2.5326848000000002E-2</v>
      </c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24"/>
    </row>
    <row r="110" spans="1:38" x14ac:dyDescent="0.35">
      <c r="A110" s="2">
        <v>45126</v>
      </c>
      <c r="B110" s="24">
        <v>-3.2162785999999999E-2</v>
      </c>
      <c r="C110" s="24">
        <v>8.9638709999999996E-2</v>
      </c>
      <c r="D110" s="24">
        <v>1.3787270000000001E-2</v>
      </c>
      <c r="E110" s="24">
        <v>4.4003129999999994E-2</v>
      </c>
      <c r="F110" s="24">
        <v>8.484220499999999E-2</v>
      </c>
      <c r="G110" s="24">
        <v>4.6138643999999999E-2</v>
      </c>
      <c r="H110" s="24">
        <v>2.8009772000000002E-2</v>
      </c>
      <c r="I110" s="24">
        <v>-4.9536227999999998E-3</v>
      </c>
      <c r="J110" s="24">
        <v>-2.1840929999999998E-3</v>
      </c>
      <c r="K110" s="24">
        <v>9.626984600000001E-3</v>
      </c>
      <c r="L110" s="24">
        <v>-1.546979E-3</v>
      </c>
      <c r="M110" s="24">
        <v>1.5147924E-2</v>
      </c>
      <c r="N110" s="24">
        <v>7.70396E-2</v>
      </c>
      <c r="O110" s="24">
        <v>3.5242320000000001E-2</v>
      </c>
      <c r="P110" s="24">
        <v>-4.2821170000000006E-2</v>
      </c>
      <c r="Q110" s="24">
        <v>-3.8652419999999996E-3</v>
      </c>
      <c r="R110" s="24">
        <v>-1.3025761E-2</v>
      </c>
      <c r="S110" s="24">
        <v>6.3118460000000001E-2</v>
      </c>
      <c r="T110" s="24">
        <v>2.9532910000000002E-2</v>
      </c>
      <c r="U110" s="24">
        <v>6.3214064E-2</v>
      </c>
      <c r="V110" s="24">
        <v>7.395029E-3</v>
      </c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24"/>
    </row>
    <row r="111" spans="1:38" x14ac:dyDescent="0.35">
      <c r="A111" s="2">
        <v>45156</v>
      </c>
      <c r="B111" s="24">
        <v>-3.3231615999999999E-2</v>
      </c>
      <c r="C111" s="24">
        <v>-0.11542064</v>
      </c>
      <c r="D111" s="24">
        <v>-3.1024276999999999E-2</v>
      </c>
      <c r="E111" s="24">
        <v>-7.3853015999999994E-2</v>
      </c>
      <c r="F111" s="24">
        <v>-8.1068149999999992E-2</v>
      </c>
      <c r="G111" s="24">
        <v>-5.5353165000000003E-2</v>
      </c>
      <c r="H111" s="24">
        <v>4.7802925000000002E-4</v>
      </c>
      <c r="I111" s="24">
        <v>-6.4094600000000002E-2</v>
      </c>
      <c r="J111" s="24">
        <v>-3.2989383000000004E-2</v>
      </c>
      <c r="K111" s="24">
        <v>-9.6096629999999988E-2</v>
      </c>
      <c r="L111" s="24">
        <v>-5.3610143999999998E-2</v>
      </c>
      <c r="M111" s="24">
        <v>-9.9790150000000008E-2</v>
      </c>
      <c r="N111" s="24">
        <v>-6.8860770000000002E-2</v>
      </c>
      <c r="O111" s="24">
        <v>-2.9563248E-2</v>
      </c>
      <c r="P111" s="24">
        <v>-4.9999950000000001E-2</v>
      </c>
      <c r="Q111" s="24">
        <v>1.1640787E-2</v>
      </c>
      <c r="R111" s="24">
        <v>-1.1401534E-2</v>
      </c>
      <c r="S111" s="24">
        <v>0.12483954000000001</v>
      </c>
      <c r="T111" s="24">
        <v>4.0026903000000003E-3</v>
      </c>
      <c r="U111" s="24">
        <v>1.5759348999999999E-2</v>
      </c>
      <c r="V111" s="24">
        <v>-3.8361310000000003E-2</v>
      </c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24"/>
    </row>
    <row r="112" spans="1:38" x14ac:dyDescent="0.35">
      <c r="A112" s="2">
        <v>45188</v>
      </c>
      <c r="B112" s="24">
        <v>-1.0873377E-2</v>
      </c>
      <c r="C112" s="24">
        <v>-4.3493690000000002E-2</v>
      </c>
      <c r="D112" s="24">
        <v>2.1929740999999999E-3</v>
      </c>
      <c r="E112" s="24">
        <v>-3.9871097000000001E-2</v>
      </c>
      <c r="F112" s="24">
        <v>-9.5485209999999987E-2</v>
      </c>
      <c r="G112" s="24">
        <v>7.0807933999999994E-3</v>
      </c>
      <c r="H112" s="24">
        <v>9.5555780000000003E-3</v>
      </c>
      <c r="I112" s="24">
        <v>9.3085766E-3</v>
      </c>
      <c r="J112" s="24">
        <v>-1.665318E-2</v>
      </c>
      <c r="K112" s="24">
        <v>3.1481861999999999E-2</v>
      </c>
      <c r="L112" s="24">
        <v>4.9115895999999999E-2</v>
      </c>
      <c r="M112" s="24">
        <v>-3.1079649999999999E-3</v>
      </c>
      <c r="N112" s="24">
        <v>-6.851554E-2</v>
      </c>
      <c r="O112" s="24">
        <v>3.8541435999999998E-2</v>
      </c>
      <c r="P112" s="24">
        <v>1.2465357999999999E-2</v>
      </c>
      <c r="Q112" s="24">
        <v>-3.7534236999999998E-2</v>
      </c>
      <c r="R112" s="24">
        <v>2.5277137999999998E-3</v>
      </c>
      <c r="S112" s="24">
        <v>4.0798902999999997E-2</v>
      </c>
      <c r="T112" s="24">
        <v>4.6511889000000004E-3</v>
      </c>
      <c r="U112" s="24">
        <v>3.7376523000000002E-2</v>
      </c>
      <c r="V112" s="24">
        <v>-3.2504320000000003E-2</v>
      </c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</row>
    <row r="113" spans="1:38" x14ac:dyDescent="0.35">
      <c r="A113" s="2">
        <v>45218</v>
      </c>
      <c r="B113" s="24">
        <v>-5.4609957000000001E-2</v>
      </c>
      <c r="C113" s="24">
        <v>-9.9445400000000003E-2</v>
      </c>
      <c r="D113" s="24">
        <v>-8.7965009999999996E-2</v>
      </c>
      <c r="E113" s="24">
        <v>2.4328827999999997E-2</v>
      </c>
      <c r="F113" s="24">
        <v>8.6632250000000008E-2</v>
      </c>
      <c r="G113" s="24">
        <v>-6.6794514999999999E-2</v>
      </c>
      <c r="H113" s="24">
        <v>-2.3663044000000001E-2</v>
      </c>
      <c r="I113" s="24">
        <v>-1.6688644999999998E-2</v>
      </c>
      <c r="J113" s="24">
        <v>-0.11673790000000001</v>
      </c>
      <c r="K113" s="24">
        <v>-7.7820420000000001E-2</v>
      </c>
      <c r="L113" s="24">
        <v>-6.0549315999999999E-2</v>
      </c>
      <c r="M113" s="24">
        <v>-2.0265043E-2</v>
      </c>
      <c r="N113" s="24">
        <v>-3.7653147999999997E-2</v>
      </c>
      <c r="O113" s="24">
        <v>-1.4888823000000001E-2</v>
      </c>
      <c r="P113" s="24">
        <v>-4.9931644999999997E-2</v>
      </c>
      <c r="Q113" s="24">
        <v>-5.1522970000000001E-2</v>
      </c>
      <c r="R113" s="24">
        <v>-6.5609034999999996E-2</v>
      </c>
      <c r="S113" s="24">
        <v>-3.8651287999999999E-2</v>
      </c>
      <c r="T113" s="24">
        <v>-7.2089970000000003E-2</v>
      </c>
      <c r="U113" s="24">
        <v>-0.15975528999999999</v>
      </c>
      <c r="V113" s="24">
        <v>-4.5049666999999995E-2</v>
      </c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</row>
    <row r="114" spans="1:38" x14ac:dyDescent="0.35">
      <c r="A114" s="2">
        <v>45247</v>
      </c>
      <c r="B114" s="24">
        <v>3.6481619999999999E-2</v>
      </c>
      <c r="C114" s="24">
        <v>6.8965553999999998E-2</v>
      </c>
      <c r="D114" s="24">
        <v>3.7907839999999998E-2</v>
      </c>
      <c r="E114" s="24">
        <v>2.1293997999999998E-2</v>
      </c>
      <c r="F114" s="24">
        <v>0.13938749</v>
      </c>
      <c r="G114" s="24">
        <v>5.1993129999999999E-2</v>
      </c>
      <c r="H114" s="24">
        <v>3.4900665000000004E-2</v>
      </c>
      <c r="I114" s="24">
        <v>6.8110824E-2</v>
      </c>
      <c r="J114" s="24">
        <v>0.15580785999999999</v>
      </c>
      <c r="K114" s="24">
        <v>7.866919E-2</v>
      </c>
      <c r="L114" s="24">
        <v>0.11262465000000001</v>
      </c>
      <c r="M114" s="24">
        <v>6.9742800000000008E-2</v>
      </c>
      <c r="N114" s="24">
        <v>0.11798609</v>
      </c>
      <c r="O114" s="24">
        <v>1.6128897999999999E-2</v>
      </c>
      <c r="P114" s="24">
        <v>3.8396954999999997E-2</v>
      </c>
      <c r="Q114" s="24">
        <v>5.8223247999999998E-2</v>
      </c>
      <c r="R114" s="24">
        <v>-5.1017403999999997E-3</v>
      </c>
      <c r="S114" s="24">
        <v>2.5663375999999999E-3</v>
      </c>
      <c r="T114" s="24">
        <v>6.9850326000000004E-2</v>
      </c>
      <c r="U114" s="24">
        <v>6.0679555000000003E-2</v>
      </c>
      <c r="V114" s="24">
        <v>5.810237E-2</v>
      </c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24"/>
    </row>
    <row r="115" spans="1:38" x14ac:dyDescent="0.35">
      <c r="A115" s="2">
        <v>45279</v>
      </c>
      <c r="B115" s="24">
        <v>-4.4968660000000001E-2</v>
      </c>
      <c r="C115" s="24">
        <v>8.3333249999999998E-2</v>
      </c>
      <c r="D115" s="24">
        <v>2.2191525E-2</v>
      </c>
      <c r="E115" s="24">
        <v>4.2501926000000002E-2</v>
      </c>
      <c r="F115" s="24">
        <v>8.3410499999999999E-2</v>
      </c>
      <c r="G115" s="24">
        <v>0.12858175999999999</v>
      </c>
      <c r="H115" s="24">
        <v>8.4309579999999988E-3</v>
      </c>
      <c r="I115" s="24">
        <v>3.6587953999999999E-2</v>
      </c>
      <c r="J115" s="24">
        <v>0.10839105</v>
      </c>
      <c r="K115" s="24">
        <v>4.2730927000000002E-2</v>
      </c>
      <c r="L115" s="24">
        <v>6.4795375000000002E-2</v>
      </c>
      <c r="M115" s="24">
        <v>2.9251336999999999E-2</v>
      </c>
      <c r="N115" s="24">
        <v>3.3098219999999998E-2</v>
      </c>
      <c r="O115" s="24">
        <v>8.1585169999999999E-2</v>
      </c>
      <c r="P115" s="24">
        <v>-4.4372616000000004E-2</v>
      </c>
      <c r="Q115" s="24">
        <v>-1.0209798999999999E-2</v>
      </c>
      <c r="R115" s="24">
        <v>-1.4748037E-2</v>
      </c>
      <c r="S115" s="24">
        <v>-3.1854331E-2</v>
      </c>
      <c r="T115" s="24">
        <v>-3.0646265000000002E-2</v>
      </c>
      <c r="U115" s="24">
        <v>4.6947001999999996E-3</v>
      </c>
      <c r="V115" s="24">
        <v>5.8942080000000001E-2</v>
      </c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</row>
    <row r="116" spans="1:38" x14ac:dyDescent="0.35">
      <c r="A116" s="2">
        <v>45310</v>
      </c>
      <c r="B116" s="24">
        <v>-3.7665844000000004E-2</v>
      </c>
      <c r="C116" s="24">
        <v>-8.4898360000000006E-2</v>
      </c>
      <c r="D116" s="24">
        <v>1.2643576E-2</v>
      </c>
      <c r="E116" s="24">
        <v>1.9302130000000001E-2</v>
      </c>
      <c r="F116" s="24">
        <v>-6.7616280000000001E-2</v>
      </c>
      <c r="G116" s="24">
        <v>-1.9998312000000001E-2</v>
      </c>
      <c r="H116" s="24">
        <v>-6.9042444000000005E-3</v>
      </c>
      <c r="I116" s="24">
        <v>4.713297E-3</v>
      </c>
      <c r="J116" s="24">
        <v>-3.9159656000000001E-2</v>
      </c>
      <c r="K116" s="24">
        <v>-6.3163640000000007E-2</v>
      </c>
      <c r="L116" s="24">
        <v>-4.2307079999999997E-2</v>
      </c>
      <c r="M116" s="24">
        <v>-7.0673170000000007E-2</v>
      </c>
      <c r="N116" s="24">
        <v>2.963996E-2</v>
      </c>
      <c r="O116" s="24">
        <v>1.7857075E-2</v>
      </c>
      <c r="P116" s="24">
        <v>-8.1561330000000001E-2</v>
      </c>
      <c r="Q116" s="24">
        <v>7.4498653000000005E-3</v>
      </c>
      <c r="R116" s="24">
        <v>-8.8823440000000004E-3</v>
      </c>
      <c r="S116" s="24">
        <v>5.0556660000000003E-4</v>
      </c>
      <c r="T116" s="24">
        <v>3.2818198E-2</v>
      </c>
      <c r="U116" s="24">
        <v>3.5064696999999999E-2</v>
      </c>
      <c r="V116" s="24">
        <v>1.9299864999999999E-2</v>
      </c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</row>
    <row r="117" spans="1:38" x14ac:dyDescent="0.35">
      <c r="A117" s="2">
        <v>45338</v>
      </c>
      <c r="B117" s="24">
        <v>4.0607094999999996E-2</v>
      </c>
      <c r="C117" s="24">
        <v>-2.7290583E-3</v>
      </c>
      <c r="D117" s="24">
        <v>2.3863196000000003E-2</v>
      </c>
      <c r="E117" s="24">
        <v>4.770601E-2</v>
      </c>
      <c r="F117" s="24">
        <v>6.8460702999999998E-2</v>
      </c>
      <c r="G117" s="24">
        <v>5.3550243000000004E-2</v>
      </c>
      <c r="H117" s="24">
        <v>1.8562555000000001E-2</v>
      </c>
      <c r="I117" s="24">
        <v>4.2996169999999993E-2</v>
      </c>
      <c r="J117" s="24">
        <v>3.347671E-2</v>
      </c>
      <c r="K117" s="24">
        <v>8.3192830000000009E-2</v>
      </c>
      <c r="L117" s="24">
        <v>4.5510530000000002E-3</v>
      </c>
      <c r="M117" s="24">
        <v>1.4431833999999999E-2</v>
      </c>
      <c r="N117" s="24">
        <v>3.9292215999999998E-2</v>
      </c>
      <c r="O117" s="24">
        <v>3.2466292000000001E-2</v>
      </c>
      <c r="P117" s="24">
        <v>4.7246219999999998E-2</v>
      </c>
      <c r="Q117" s="24">
        <v>-1.0238885999999999E-3</v>
      </c>
      <c r="R117" s="24">
        <v>3.4863949999999998E-3</v>
      </c>
      <c r="S117" s="24">
        <v>0.14035606</v>
      </c>
      <c r="T117" s="24">
        <v>0</v>
      </c>
      <c r="U117" s="24">
        <v>1.8561482000000001E-2</v>
      </c>
      <c r="V117" s="24">
        <v>5.3676963000000001E-2</v>
      </c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24"/>
    </row>
    <row r="118" spans="1:38" x14ac:dyDescent="0.35">
      <c r="A118" s="2">
        <v>45370</v>
      </c>
      <c r="B118" s="24">
        <v>5.1635739999999999E-2</v>
      </c>
      <c r="C118" s="24">
        <v>2.6583313999999997E-2</v>
      </c>
      <c r="D118" s="24">
        <v>4.3976307000000002E-4</v>
      </c>
      <c r="E118" s="24">
        <v>-1.452446E-3</v>
      </c>
      <c r="F118" s="24">
        <v>9.721637E-3</v>
      </c>
      <c r="G118" s="24">
        <v>9.5005039999999999E-2</v>
      </c>
      <c r="H118" s="24">
        <v>2.4299145000000001E-2</v>
      </c>
      <c r="I118" s="24">
        <v>4.7298790000000007E-2</v>
      </c>
      <c r="J118" s="24">
        <v>-1.8425047E-2</v>
      </c>
      <c r="K118" s="24">
        <v>1.6980767000000001E-2</v>
      </c>
      <c r="L118" s="24">
        <v>-3.1108380000000001E-2</v>
      </c>
      <c r="M118" s="24">
        <v>-2.7935802999999999E-2</v>
      </c>
      <c r="N118" s="24">
        <v>-5.0073861999999994E-4</v>
      </c>
      <c r="O118" s="24">
        <v>-2.0703136999999996E-2</v>
      </c>
      <c r="P118" s="24">
        <v>3.2482505000000002E-2</v>
      </c>
      <c r="Q118" s="24">
        <v>3.6897778999999999E-2</v>
      </c>
      <c r="R118" s="24">
        <v>-3.5103560000000001E-3</v>
      </c>
      <c r="S118" s="24">
        <v>-8.4569340000000007E-2</v>
      </c>
      <c r="T118" s="24">
        <v>0</v>
      </c>
      <c r="U118" s="24">
        <v>1.7463922999999999E-2</v>
      </c>
      <c r="V118" s="24">
        <v>5.6104659999999997E-3</v>
      </c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  <c r="AL118" s="24"/>
    </row>
    <row r="119" spans="1:38" x14ac:dyDescent="0.35">
      <c r="A119" s="2">
        <v>45401</v>
      </c>
      <c r="B119" s="24">
        <v>-1.8365800000000002E-2</v>
      </c>
      <c r="C119" s="24">
        <v>-3.8081408E-4</v>
      </c>
      <c r="D119" s="24">
        <v>-8.6593389999999992E-2</v>
      </c>
      <c r="E119" s="24">
        <v>-0.10036367</v>
      </c>
      <c r="F119" s="24">
        <v>2.0131230000000003E-2</v>
      </c>
      <c r="G119" s="24">
        <v>4.2979956E-2</v>
      </c>
      <c r="H119" s="24">
        <v>-7.2992444E-3</v>
      </c>
      <c r="I119" s="24">
        <v>-5.3035020000000002E-2</v>
      </c>
      <c r="J119" s="24">
        <v>-1.7711163000000002E-2</v>
      </c>
      <c r="K119" s="24">
        <v>-6.0661736000000001E-2</v>
      </c>
      <c r="L119" s="24">
        <v>-4.1770639999999998E-2</v>
      </c>
      <c r="M119" s="24">
        <v>2.1820067999999998E-2</v>
      </c>
      <c r="N119" s="24">
        <v>-2.5551020000000001E-2</v>
      </c>
      <c r="O119" s="24">
        <v>2.3733615999999999E-2</v>
      </c>
      <c r="P119" s="24">
        <v>-1.5980004999999999E-2</v>
      </c>
      <c r="Q119" s="24">
        <v>-4.3382699999999996E-2</v>
      </c>
      <c r="R119" s="24">
        <v>-3.6442280000000001E-2</v>
      </c>
      <c r="S119" s="24">
        <v>8.6128469999999999E-2</v>
      </c>
      <c r="T119" s="24">
        <v>-3.4159422000000002E-2</v>
      </c>
      <c r="U119" s="24">
        <v>-0.11567158</v>
      </c>
      <c r="V119" s="24">
        <v>-3.5706341000000003E-2</v>
      </c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  <c r="AL119" s="24"/>
    </row>
    <row r="120" spans="1:38" x14ac:dyDescent="0.35">
      <c r="A120" s="2">
        <v>45429</v>
      </c>
      <c r="B120" s="24">
        <v>4.8491715999999997E-2</v>
      </c>
      <c r="C120" s="24">
        <v>0.11352385</v>
      </c>
      <c r="D120" s="24">
        <v>2.5023937E-2</v>
      </c>
      <c r="E120" s="24">
        <v>4.7695993999999999E-2</v>
      </c>
      <c r="F120" s="24">
        <v>0.10982417999999999</v>
      </c>
      <c r="G120" s="24">
        <v>0.10139858</v>
      </c>
      <c r="H120" s="24">
        <v>6.9852949999999997E-2</v>
      </c>
      <c r="I120" s="24">
        <v>0.11529207</v>
      </c>
      <c r="J120" s="24">
        <v>6.2721489999999991E-2</v>
      </c>
      <c r="K120" s="24">
        <v>6.7514660000000004E-2</v>
      </c>
      <c r="L120" s="24">
        <v>3.2856226000000002E-2</v>
      </c>
      <c r="M120" s="24">
        <v>0.14296865</v>
      </c>
      <c r="N120" s="24">
        <v>0.10308479999999999</v>
      </c>
      <c r="O120" s="24">
        <v>3.1950116000000001E-2</v>
      </c>
      <c r="P120" s="24">
        <v>0.20375537999999999</v>
      </c>
      <c r="Q120" s="24">
        <v>5.1665306000000001E-3</v>
      </c>
      <c r="R120" s="24">
        <v>3.7985801999999999E-2</v>
      </c>
      <c r="S120" s="24">
        <v>0.12928556999999999</v>
      </c>
      <c r="T120" s="24">
        <v>-2.7739406000000001E-3</v>
      </c>
      <c r="U120" s="24">
        <v>9.282696E-2</v>
      </c>
      <c r="V120" s="24">
        <v>-1.5274227E-2</v>
      </c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</row>
    <row r="121" spans="1:38" x14ac:dyDescent="0.35">
      <c r="A121" s="2">
        <v>45461</v>
      </c>
      <c r="B121" s="24">
        <v>-4.1587353000000001E-2</v>
      </c>
      <c r="C121" s="24">
        <v>-7.3751689999999995E-2</v>
      </c>
      <c r="D121" s="24">
        <v>-0.10674894</v>
      </c>
      <c r="E121" s="24">
        <v>-6.0474930000000003E-2</v>
      </c>
      <c r="F121" s="24">
        <v>-7.3772009999999999E-2</v>
      </c>
      <c r="G121" s="24">
        <v>-6.3125667999999996E-2</v>
      </c>
      <c r="H121" s="24">
        <v>-3.1858087000000003E-3</v>
      </c>
      <c r="I121" s="24">
        <v>6.7869782000000003E-2</v>
      </c>
      <c r="J121" s="24">
        <v>-0.16956210999999999</v>
      </c>
      <c r="K121" s="24">
        <v>2.5969743999999999E-3</v>
      </c>
      <c r="L121" s="24">
        <v>-0.11973470999999999</v>
      </c>
      <c r="M121" s="24">
        <v>2.1253346999999999E-2</v>
      </c>
      <c r="N121" s="24">
        <v>-6.2689304000000001E-2</v>
      </c>
      <c r="O121" s="24">
        <v>4.7951580000000001E-2</v>
      </c>
      <c r="P121" s="24">
        <v>-7.8382014999999999E-2</v>
      </c>
      <c r="Q121" s="24">
        <v>-8.016825E-3</v>
      </c>
      <c r="R121" s="24">
        <v>-5.7034254000000006E-2</v>
      </c>
      <c r="S121" s="24">
        <v>-1.9765377000000001E-2</v>
      </c>
      <c r="T121" s="24">
        <v>-2.4957000999999999E-2</v>
      </c>
      <c r="U121" s="24">
        <v>-1.8532812999999999E-2</v>
      </c>
      <c r="V121" s="24">
        <v>-1.6020059999999999E-2</v>
      </c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24"/>
    </row>
    <row r="122" spans="1:38" x14ac:dyDescent="0.35">
      <c r="A122" s="2">
        <v>45492</v>
      </c>
      <c r="B122" s="24">
        <v>-1.3719558999999999E-2</v>
      </c>
      <c r="C122" s="24">
        <v>-5.6839585E-3</v>
      </c>
      <c r="D122" s="24">
        <v>9.8476649999999999E-2</v>
      </c>
      <c r="E122" s="24">
        <v>6.5860749999999996E-2</v>
      </c>
      <c r="F122" s="24">
        <v>3.6989807999999999E-2</v>
      </c>
      <c r="G122" s="24">
        <v>1.7234921E-2</v>
      </c>
      <c r="H122" s="24">
        <v>1.9264460000000001E-2</v>
      </c>
      <c r="I122" s="24">
        <v>-2.3879468000000001E-2</v>
      </c>
      <c r="J122" s="24">
        <v>3.1695724000000002E-2</v>
      </c>
      <c r="K122" s="24">
        <v>-6.0946940000000003E-3</v>
      </c>
      <c r="L122" s="24">
        <v>3.4737587E-2</v>
      </c>
      <c r="M122" s="24">
        <v>-1.9487917E-2</v>
      </c>
      <c r="N122" s="24">
        <v>5.4454922999999995E-2</v>
      </c>
      <c r="O122" s="24">
        <v>1.2069939999999999E-2</v>
      </c>
      <c r="P122" s="24">
        <v>-3.4688709999999998E-2</v>
      </c>
      <c r="Q122" s="24">
        <v>2.1699904999999999E-2</v>
      </c>
      <c r="R122" s="24">
        <v>1.0216236E-2</v>
      </c>
      <c r="S122" s="24">
        <v>4.6673060000000002E-2</v>
      </c>
      <c r="T122" s="24">
        <v>5.7820679999999999E-2</v>
      </c>
      <c r="U122" s="24">
        <v>-5.1927624000000006E-2</v>
      </c>
      <c r="V122" s="24">
        <v>1.9151568000000001E-2</v>
      </c>
      <c r="W122" s="24"/>
      <c r="X122" s="24"/>
      <c r="Y122" s="24"/>
    </row>
    <row r="123" spans="1:38" x14ac:dyDescent="0.35">
      <c r="A123" s="2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</row>
    <row r="124" spans="1:38" x14ac:dyDescent="0.35">
      <c r="A124" s="2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</row>
    <row r="125" spans="1:38" x14ac:dyDescent="0.35"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</row>
    <row r="126" spans="1:38" x14ac:dyDescent="0.35">
      <c r="A126" t="s">
        <v>806</v>
      </c>
      <c r="B126" s="24" cm="1">
        <f t="array" ref="B126">MAX(_xlfn._xlws.FILTER(B1:B122, ISNUMBER(B1:B122)))</f>
        <v>0.14925706999999999</v>
      </c>
      <c r="C126" s="24" cm="1">
        <f t="array" ref="C126">MAX(_xlfn._xlws.FILTER(C1:C122, ISNUMBER(C1:C122)))</f>
        <v>0.23858917000000002</v>
      </c>
      <c r="D126" s="24" cm="1">
        <f t="array" ref="D126">MAX(_xlfn._xlws.FILTER(D1:D122, ISNUMBER(D1:D122)))</f>
        <v>0.17915307999999999</v>
      </c>
      <c r="E126" s="24" cm="1">
        <f t="array" ref="E126">MAX(_xlfn._xlws.FILTER(E1:E122, ISNUMBER(E1:E122)))</f>
        <v>0.25</v>
      </c>
      <c r="F126" s="24" cm="1">
        <f t="array" ref="F126">MAX(_xlfn._xlws.FILTER(F1:F122, ISNUMBER(F1:F122)))</f>
        <v>0.30978262000000001</v>
      </c>
      <c r="G126" s="24" cm="1">
        <f t="array" ref="G126">MAX(_xlfn._xlws.FILTER(G1:G122, ISNUMBER(G1:G122)))</f>
        <v>0.22618484</v>
      </c>
      <c r="H126" s="24" cm="1">
        <f t="array" ref="H126">MAX(_xlfn._xlws.FILTER(H1:H122, ISNUMBER(H1:H122)))</f>
        <v>0.22992695000000002</v>
      </c>
      <c r="I126" s="24" cm="1">
        <f t="array" ref="I126">MAX(_xlfn._xlws.FILTER(I1:I122, ISNUMBER(I1:I122)))</f>
        <v>0.22421980000000002</v>
      </c>
      <c r="J126" s="24" cm="1">
        <f t="array" ref="J126">MAX(_xlfn._xlws.FILTER(J1:J122, ISNUMBER(J1:J122)))</f>
        <v>0.16977882</v>
      </c>
      <c r="K126" s="24" cm="1">
        <f t="array" ref="K126">MAX(_xlfn._xlws.FILTER(K1:K122, ISNUMBER(K1:K122)))</f>
        <v>0.30179490000000003</v>
      </c>
      <c r="L126" s="24" cm="1">
        <f t="array" ref="L126">MAX(_xlfn._xlws.FILTER(L1:L122, ISNUMBER(L1:L122)))</f>
        <v>0.3528521</v>
      </c>
      <c r="M126" s="24" cm="1">
        <f t="array" ref="M126">MAX(_xlfn._xlws.FILTER(M1:M122, ISNUMBER(M1:M122)))</f>
        <v>0.17770851000000001</v>
      </c>
      <c r="N126" s="24" cm="1">
        <f t="array" ref="N126">MAX(_xlfn._xlws.FILTER(N1:N122, ISNUMBER(N1:N122)))</f>
        <v>0.2059406</v>
      </c>
      <c r="O126" s="24" cm="1">
        <f t="array" ref="O126">MAX(_xlfn._xlws.FILTER(O1:O122, ISNUMBER(O1:O122)))</f>
        <v>0.13678217000000001</v>
      </c>
      <c r="P126" s="24" cm="1">
        <f t="array" ref="P126">MAX(_xlfn._xlws.FILTER(P1:P122, ISNUMBER(P1:P122)))</f>
        <v>0.20375537999999999</v>
      </c>
      <c r="Q126" s="24" cm="1">
        <f t="array" ref="Q126">MAX(_xlfn._xlws.FILTER(Q1:Q122, ISNUMBER(Q1:Q122)))</f>
        <v>0.18127525</v>
      </c>
      <c r="R126" s="24" cm="1">
        <f t="array" ref="R126">MAX(_xlfn._xlws.FILTER(R1:R122, ISNUMBER(R1:R122)))</f>
        <v>0.18679559999999998</v>
      </c>
      <c r="S126" s="24" cm="1">
        <f t="array" ref="S126">MAX(_xlfn._xlws.FILTER(S1:S122, ISNUMBER(S1:S122)))</f>
        <v>0.21064556000000001</v>
      </c>
      <c r="T126" s="24" cm="1">
        <f t="array" ref="T126">MAX(_xlfn._xlws.FILTER(T1:T122, ISNUMBER(T1:T122)))</f>
        <v>0.18750213999999998</v>
      </c>
      <c r="U126" s="24" cm="1">
        <f t="array" ref="U126">MAX(_xlfn._xlws.FILTER(U1:U122, ISNUMBER(U1:U122)))</f>
        <v>0.16334283999999999</v>
      </c>
      <c r="V126" s="24" cm="1">
        <f t="array" ref="V126">MAX(_xlfn._xlws.FILTER(V1:V122, ISNUMBER(V1:V122)))</f>
        <v>0.16241419000000001</v>
      </c>
    </row>
    <row r="127" spans="1:38" x14ac:dyDescent="0.35">
      <c r="A127" t="s">
        <v>85</v>
      </c>
      <c r="B127" s="24" cm="1">
        <f t="array" ref="B127">MIN(_xlfn._xlws.FILTER(B2:B122, ISNUMBER(B2:B122)))</f>
        <v>-0.14308953000000002</v>
      </c>
      <c r="C127" s="24" cm="1">
        <f t="array" ref="C127">MIN(_xlfn._xlws.FILTER(C2:C122, ISNUMBER(C2:C122)))</f>
        <v>-0.36285525999999996</v>
      </c>
      <c r="D127" s="24" cm="1">
        <f t="array" ref="D127">MIN(_xlfn._xlws.FILTER(D2:D122, ISNUMBER(D2:D122)))</f>
        <v>-0.4546945</v>
      </c>
      <c r="E127" s="24" cm="1">
        <f t="array" ref="E127">MIN(_xlfn._xlws.FILTER(E2:E122, ISNUMBER(E2:E122)))</f>
        <v>-0.38928467</v>
      </c>
      <c r="F127" s="24" cm="1">
        <f t="array" ref="F127">MIN(_xlfn._xlws.FILTER(F2:F122, ISNUMBER(F2:F122)))</f>
        <v>-0.35001254999999998</v>
      </c>
      <c r="G127" s="24" cm="1">
        <f t="array" ref="G127">MIN(_xlfn._xlws.FILTER(G2:G122, ISNUMBER(G2:G122)))</f>
        <v>-0.35885586000000003</v>
      </c>
      <c r="H127" s="24" cm="1">
        <f t="array" ref="H127">MIN(_xlfn._xlws.FILTER(H2:H122, ISNUMBER(H2:H122)))</f>
        <v>-0.28218561000000003</v>
      </c>
      <c r="I127" s="24" cm="1">
        <f t="array" ref="I127">MIN(_xlfn._xlws.FILTER(I2:I122, ISNUMBER(I2:I122)))</f>
        <v>-0.26757765</v>
      </c>
      <c r="J127" s="24" cm="1">
        <f t="array" ref="J127">MIN(_xlfn._xlws.FILTER(J2:J122, ISNUMBER(J2:J122)))</f>
        <v>-0.39865433000000006</v>
      </c>
      <c r="K127" s="24" cm="1">
        <f t="array" ref="K127">MIN(_xlfn._xlws.FILTER(K2:K122, ISNUMBER(K2:K122)))</f>
        <v>-0.36138854999999998</v>
      </c>
      <c r="L127" s="24" cm="1">
        <f t="array" ref="L127">MIN(_xlfn._xlws.FILTER(L2:L122, ISNUMBER(L2:L122)))</f>
        <v>-0.49442039999999998</v>
      </c>
      <c r="M127" s="24" cm="1">
        <f t="array" ref="M127">MIN(_xlfn._xlws.FILTER(M2:M122, ISNUMBER(M2:M122)))</f>
        <v>-0.44971049999999996</v>
      </c>
      <c r="N127" s="24" cm="1">
        <f t="array" ref="N127">MIN(_xlfn._xlws.FILTER(N2:N122, ISNUMBER(N2:N122)))</f>
        <v>-0.45405406999999998</v>
      </c>
      <c r="O127" s="24" cm="1">
        <f t="array" ref="O127">MIN(_xlfn._xlws.FILTER(O2:O122, ISNUMBER(O2:O122)))</f>
        <v>-0.35364130000000005</v>
      </c>
      <c r="P127" s="24" cm="1">
        <f t="array" ref="P127">MIN(_xlfn._xlws.FILTER(P2:P122, ISNUMBER(P2:P122)))</f>
        <v>-0.19234306000000001</v>
      </c>
      <c r="Q127" s="24" cm="1">
        <f t="array" ref="Q127">MIN(_xlfn._xlws.FILTER(Q2:Q122, ISNUMBER(Q2:Q122)))</f>
        <v>-0.12097084000000001</v>
      </c>
      <c r="R127" s="24" cm="1">
        <f t="array" ref="R127">MIN(_xlfn._xlws.FILTER(R2:R122, ISNUMBER(R2:R122)))</f>
        <v>-0.30643493999999999</v>
      </c>
      <c r="S127" s="24" cm="1">
        <f t="array" ref="S127">MIN(_xlfn._xlws.FILTER(S2:S122, ISNUMBER(S2:S122)))</f>
        <v>-0.33783295000000002</v>
      </c>
      <c r="T127" s="24" cm="1">
        <f t="array" ref="T127">MIN(_xlfn._xlws.FILTER(T2:T122, ISNUMBER(T2:T122)))</f>
        <v>-0.29675419000000003</v>
      </c>
      <c r="U127" s="24" cm="1">
        <f t="array" ref="U127">MIN(_xlfn._xlws.FILTER(U2:U122, ISNUMBER(U2:U122)))</f>
        <v>-0.29893481999999999</v>
      </c>
      <c r="V127" s="24" cm="1">
        <f t="array" ref="V127">MIN(_xlfn._xlws.FILTER(V2:V122, ISNUMBER(V2:V122)))</f>
        <v>-0.22145324999999999</v>
      </c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  <c r="AK127" s="24"/>
      <c r="AL127" s="24"/>
    </row>
    <row r="129" spans="1:29" x14ac:dyDescent="0.35">
      <c r="A129" t="s">
        <v>87</v>
      </c>
      <c r="B129">
        <f>COUNTIF(B2:B122, "&lt;"&amp;Assumption!$E$50)</f>
        <v>13</v>
      </c>
      <c r="C129">
        <f>COUNTIF(C2:C122, "&lt;"&amp;Assumption!$E$50)</f>
        <v>25</v>
      </c>
      <c r="D129">
        <f>COUNTIF(D2:D122, "&lt;"&amp;Assumption!$E$50)</f>
        <v>19</v>
      </c>
      <c r="E129">
        <f>COUNTIF(E2:E122, "&lt;"&amp;Assumption!$E$50)</f>
        <v>21</v>
      </c>
      <c r="F129">
        <f>COUNTIF(F2:F122, "&lt;"&amp;Assumption!$E$50)</f>
        <v>32</v>
      </c>
      <c r="G129">
        <f>COUNTIF(G2:G122, "&lt;"&amp;Assumption!$E$50)</f>
        <v>23</v>
      </c>
      <c r="H129">
        <f>COUNTIF(H2:H122, "&lt;"&amp;Assumption!$E$50)</f>
        <v>18</v>
      </c>
      <c r="I129">
        <f>COUNTIF(I2:I122, "&lt;"&amp;Assumption!$E$50)</f>
        <v>17</v>
      </c>
      <c r="J129">
        <f>COUNTIF(J2:J122, "&lt;"&amp;Assumption!$E$50)</f>
        <v>22</v>
      </c>
      <c r="K129">
        <f>COUNTIF(K2:K122, "&lt;"&amp;Assumption!$E$50)</f>
        <v>21</v>
      </c>
      <c r="L129">
        <f>COUNTIF(L2:L122, "&lt;"&amp;Assumption!$E$50)</f>
        <v>34</v>
      </c>
      <c r="M129">
        <f>COUNTIF(M2:M122, "&lt;"&amp;Assumption!$E$50)</f>
        <v>29</v>
      </c>
      <c r="N129">
        <f>COUNTIF(N2:N122, "&lt;"&amp;Assumption!$E$50)</f>
        <v>34</v>
      </c>
      <c r="O129">
        <f>COUNTIF(O2:O122, "&lt;"&amp;Assumption!$E$50)</f>
        <v>19</v>
      </c>
      <c r="P129">
        <f>COUNTIF(P2:P122, "&lt;"&amp;Assumption!$E$50)</f>
        <v>26</v>
      </c>
      <c r="Q129">
        <f>COUNTIF(Q2:Q122, "&lt;"&amp;Assumption!$E$50)</f>
        <v>23</v>
      </c>
      <c r="R129">
        <f>COUNTIF(R2:R122, "&lt;"&amp;Assumption!$E$50)</f>
        <v>10</v>
      </c>
      <c r="S129">
        <f>COUNTIF(S2:S122, "&lt;"&amp;Assumption!$E$50)</f>
        <v>30</v>
      </c>
      <c r="T129">
        <f>COUNTIF(T2:T122, "&lt;"&amp;Assumption!$E$50)</f>
        <v>18</v>
      </c>
      <c r="U129">
        <f>COUNTIF(U2:U122, "&lt;"&amp;Assumption!$E$50)</f>
        <v>27</v>
      </c>
      <c r="V129">
        <f>COUNTIF(V2:V122, "&lt;"&amp;Assumption!$E$50)</f>
        <v>13</v>
      </c>
    </row>
    <row r="130" spans="1:29" x14ac:dyDescent="0.35">
      <c r="A130" t="s">
        <v>86</v>
      </c>
      <c r="B130">
        <f>COUNT(B1:B122)</f>
        <v>97</v>
      </c>
      <c r="C130">
        <f t="shared" ref="C130:V130" si="0">COUNT(C1:C122)</f>
        <v>121</v>
      </c>
      <c r="D130">
        <f t="shared" si="0"/>
        <v>121</v>
      </c>
      <c r="E130">
        <f t="shared" si="0"/>
        <v>121</v>
      </c>
      <c r="F130">
        <f t="shared" si="0"/>
        <v>121</v>
      </c>
      <c r="G130">
        <f t="shared" si="0"/>
        <v>121</v>
      </c>
      <c r="H130">
        <f t="shared" si="0"/>
        <v>121</v>
      </c>
      <c r="I130">
        <f t="shared" si="0"/>
        <v>121</v>
      </c>
      <c r="J130">
        <f t="shared" si="0"/>
        <v>121</v>
      </c>
      <c r="K130">
        <f t="shared" si="0"/>
        <v>121</v>
      </c>
      <c r="L130">
        <f t="shared" si="0"/>
        <v>121</v>
      </c>
      <c r="M130">
        <f t="shared" si="0"/>
        <v>121</v>
      </c>
      <c r="N130">
        <f t="shared" si="0"/>
        <v>121</v>
      </c>
      <c r="O130">
        <f t="shared" si="0"/>
        <v>121</v>
      </c>
      <c r="P130">
        <f t="shared" si="0"/>
        <v>121</v>
      </c>
      <c r="Q130">
        <f t="shared" si="0"/>
        <v>121</v>
      </c>
      <c r="R130">
        <f t="shared" si="0"/>
        <v>121</v>
      </c>
      <c r="S130">
        <f t="shared" si="0"/>
        <v>121</v>
      </c>
      <c r="T130">
        <f t="shared" si="0"/>
        <v>121</v>
      </c>
      <c r="U130">
        <f t="shared" si="0"/>
        <v>121</v>
      </c>
      <c r="V130">
        <f t="shared" si="0"/>
        <v>106</v>
      </c>
    </row>
    <row r="132" spans="1:29" x14ac:dyDescent="0.35">
      <c r="A132" t="s">
        <v>88</v>
      </c>
      <c r="B132" s="9">
        <f t="shared" ref="B132:V132" si="1">B129/B130</f>
        <v>0.13402061855670103</v>
      </c>
      <c r="C132" s="9">
        <f t="shared" si="1"/>
        <v>0.20661157024793389</v>
      </c>
      <c r="D132" s="9">
        <f t="shared" si="1"/>
        <v>0.15702479338842976</v>
      </c>
      <c r="E132" s="9">
        <f t="shared" si="1"/>
        <v>0.17355371900826447</v>
      </c>
      <c r="F132" s="9">
        <f t="shared" si="1"/>
        <v>0.26446280991735538</v>
      </c>
      <c r="G132" s="9">
        <f t="shared" si="1"/>
        <v>0.19008264462809918</v>
      </c>
      <c r="H132" s="9">
        <f t="shared" si="1"/>
        <v>0.1487603305785124</v>
      </c>
      <c r="I132" s="9">
        <f t="shared" si="1"/>
        <v>0.14049586776859505</v>
      </c>
      <c r="J132" s="9">
        <f t="shared" si="1"/>
        <v>0.18181818181818182</v>
      </c>
      <c r="K132" s="9">
        <f t="shared" si="1"/>
        <v>0.17355371900826447</v>
      </c>
      <c r="L132" s="9">
        <f t="shared" si="1"/>
        <v>0.28099173553719009</v>
      </c>
      <c r="M132" s="9">
        <f t="shared" si="1"/>
        <v>0.23966942148760331</v>
      </c>
      <c r="N132" s="9">
        <f t="shared" si="1"/>
        <v>0.28099173553719009</v>
      </c>
      <c r="O132" s="9">
        <f t="shared" si="1"/>
        <v>0.15702479338842976</v>
      </c>
      <c r="P132" s="9">
        <f t="shared" si="1"/>
        <v>0.21487603305785125</v>
      </c>
      <c r="Q132" s="9">
        <f t="shared" si="1"/>
        <v>0.19008264462809918</v>
      </c>
      <c r="R132" s="9">
        <f t="shared" si="1"/>
        <v>8.2644628099173556E-2</v>
      </c>
      <c r="S132" s="9">
        <f t="shared" si="1"/>
        <v>0.24793388429752067</v>
      </c>
      <c r="T132" s="9">
        <f t="shared" si="1"/>
        <v>0.1487603305785124</v>
      </c>
      <c r="U132" s="9">
        <f t="shared" si="1"/>
        <v>0.2231404958677686</v>
      </c>
      <c r="V132" s="9">
        <f t="shared" si="1"/>
        <v>0.12264150943396226</v>
      </c>
      <c r="W132" s="9"/>
      <c r="X132" s="9"/>
      <c r="Y132" s="9"/>
      <c r="Z132" s="9"/>
      <c r="AA132" s="9"/>
      <c r="AB132" s="9"/>
      <c r="AC132" s="9"/>
    </row>
    <row r="134" spans="1:29" x14ac:dyDescent="0.35">
      <c r="A134" t="s">
        <v>95</v>
      </c>
      <c r="B134" s="9" cm="1">
        <f t="array" ref="B134">_xlfn.PERCENTRANK.EXC(_xlfn._xlws.FILTER(B2:B122, ISNUMBER(B2:B122)),B122)</f>
        <v>0.38700000000000001</v>
      </c>
      <c r="C134" s="9" cm="1">
        <f t="array" ref="C134">_xlfn.PERCENTRANK.EXC(_xlfn._xlws.FILTER(C2:C122, ISNUMBER(C2:C122)),C122)</f>
        <v>0.41799999999999998</v>
      </c>
      <c r="D134" s="9" cm="1">
        <f t="array" ref="D134">_xlfn.PERCENTRANK.EXC(_xlfn._xlws.FILTER(D2:D122, ISNUMBER(D2:D122)),D122)</f>
        <v>0.90900000000000003</v>
      </c>
      <c r="E134" s="9" cm="1">
        <f t="array" ref="E134">_xlfn.PERCENTRANK.EXC(_xlfn._xlws.FILTER(E2:E122, ISNUMBER(E2:E122)),E122)</f>
        <v>0.88500000000000001</v>
      </c>
      <c r="F134" s="9" cm="1">
        <f t="array" ref="F134">_xlfn.PERCENTRANK.EXC(_xlfn._xlws.FILTER(F2:F122, ISNUMBER(F2:F122)),F122)</f>
        <v>0.67200000000000004</v>
      </c>
      <c r="G134" s="9" cm="1">
        <f t="array" ref="G134">_xlfn.PERCENTRANK.EXC(_xlfn._xlws.FILTER(G2:G122, ISNUMBER(G2:G122)),G122)</f>
        <v>0.59</v>
      </c>
      <c r="H134" s="9" cm="1">
        <f t="array" ref="H134">_xlfn.PERCENTRANK.EXC(_xlfn._xlws.FILTER(H2:H122, ISNUMBER(H2:H122)),H122)</f>
        <v>0.67200000000000004</v>
      </c>
      <c r="I134" s="9" cm="1">
        <f t="array" ref="I134">_xlfn.PERCENTRANK.EXC(_xlfn._xlws.FILTER(I2:I122, ISNUMBER(I2:I122)),I122)</f>
        <v>0.245</v>
      </c>
      <c r="J134" s="9" cm="1">
        <f t="array" ref="J134">_xlfn.PERCENTRANK.EXC(_xlfn._xlws.FILTER(J2:J122, ISNUMBER(J2:J122)),J122)</f>
        <v>0.65500000000000003</v>
      </c>
      <c r="K134" s="9" cm="1">
        <f t="array" ref="K134">_xlfn.PERCENTRANK.EXC(_xlfn._xlws.FILTER(K2:K122, ISNUMBER(K2:K122)),K122)</f>
        <v>0.45</v>
      </c>
      <c r="L134" s="9" cm="1">
        <f t="array" ref="L134">_xlfn.PERCENTRANK.EXC(_xlfn._xlws.FILTER(L2:L122, ISNUMBER(L2:L122)),L122)</f>
        <v>0.63900000000000001</v>
      </c>
      <c r="M134" s="9" cm="1">
        <f t="array" ref="M134">_xlfn.PERCENTRANK.EXC(_xlfn._xlws.FILTER(M2:M122, ISNUMBER(M2:M122)),M122)</f>
        <v>0.36</v>
      </c>
      <c r="N134" s="9" cm="1">
        <f t="array" ref="N134">_xlfn.PERCENTRANK.EXC(_xlfn._xlws.FILTER(N2:N122, ISNUMBER(N2:N122)),N122)</f>
        <v>0.71299999999999997</v>
      </c>
      <c r="O134" s="9" cm="1">
        <f t="array" ref="O134">_xlfn.PERCENTRANK.EXC(_xlfn._xlws.FILTER(O2:O122, ISNUMBER(O2:O122)),O122)</f>
        <v>0.46700000000000003</v>
      </c>
      <c r="P134" s="9" cm="1">
        <f t="array" ref="P134">_xlfn.PERCENTRANK.EXC(_xlfn._xlws.FILTER(P2:P122, ISNUMBER(P2:P122)),P122)</f>
        <v>0.31900000000000001</v>
      </c>
      <c r="Q134" s="9" cm="1">
        <f t="array" ref="Q134">_xlfn.PERCENTRANK.EXC(_xlfn._xlws.FILTER(Q2:Q122, ISNUMBER(Q2:Q122)),Q122)</f>
        <v>0.61399999999999999</v>
      </c>
      <c r="R134" s="9" cm="1">
        <f t="array" ref="R134">_xlfn.PERCENTRANK.EXC(_xlfn._xlws.FILTER(R2:R122, ISNUMBER(R2:R122)),R122)</f>
        <v>0.63100000000000001</v>
      </c>
      <c r="S134" s="9" cm="1">
        <f t="array" ref="S134">_xlfn.PERCENTRANK.EXC(_xlfn._xlws.FILTER(S2:S122, ISNUMBER(S2:S122)),S122)</f>
        <v>0.65500000000000003</v>
      </c>
      <c r="T134" s="9" cm="1">
        <f t="array" ref="T134">_xlfn.PERCENTRANK.EXC(_xlfn._xlws.FILTER(T2:T122, ISNUMBER(T2:T122)),T122)</f>
        <v>0.82699999999999996</v>
      </c>
      <c r="U134" s="9" cm="1">
        <f t="array" ref="U134">_xlfn.PERCENTRANK.EXC(_xlfn._xlws.FILTER(U2:U122, ISNUMBER(U2:U122)),U122)</f>
        <v>0.21299999999999999</v>
      </c>
      <c r="V134" s="9" cm="1">
        <f t="array" ref="V134">_xlfn.PERCENTRANK.EXC(_xlfn._xlws.FILTER(V2:V122, ISNUMBER(V2:V122)),V122)</f>
        <v>0.54200000000000004</v>
      </c>
      <c r="W134" s="9"/>
      <c r="X134" s="9"/>
      <c r="Y134" s="9"/>
      <c r="Z134" s="9"/>
      <c r="AA134" s="9"/>
      <c r="AB134" s="9"/>
      <c r="AC134" s="9"/>
    </row>
    <row r="136" spans="1:29" x14ac:dyDescent="0.35">
      <c r="A136" s="9"/>
      <c r="B136" s="9" cm="1">
        <f t="array" ref="B136">_xlfn.PERCENTRANK.EXC(_xlfn._xlws.FILTER(B4:B125, ISNUMBER(B4:B125)),B113)</f>
        <v>0.13200000000000001</v>
      </c>
      <c r="C136" s="9" cm="1">
        <f t="array" ref="C136">_xlfn.PERCENTRANK.EXC(_xlfn._xlws.FILTER(C4:C125, ISNUMBER(C4:C125)),C113)</f>
        <v>8.3000000000000004E-2</v>
      </c>
      <c r="D136" s="9" cm="1">
        <f t="array" ref="D136">_xlfn.PERCENTRANK.EXC(_xlfn._xlws.FILTER(D4:D125, ISNUMBER(D4:D125)),D113)</f>
        <v>7.4999999999999997E-2</v>
      </c>
      <c r="E136" s="9" cm="1">
        <f t="array" ref="E136">_xlfn.PERCENTRANK.EXC(_xlfn._xlws.FILTER(E4:E125, ISNUMBER(E4:E125)),E113)</f>
        <v>0.69099999999999995</v>
      </c>
      <c r="F136" s="9" cm="1">
        <f t="array" ref="F136">_xlfn.PERCENTRANK.EXC(_xlfn._xlws.FILTER(F4:F125, ISNUMBER(F4:F125)),F113)</f>
        <v>0.85</v>
      </c>
      <c r="G136" s="9" cm="1">
        <f t="array" ref="G136">_xlfn.PERCENTRANK.EXC(_xlfn._xlws.FILTER(G4:G125, ISNUMBER(G4:G125)),G113)</f>
        <v>0.108</v>
      </c>
      <c r="H136" s="9" cm="1">
        <f t="array" ref="H136">_xlfn.PERCENTRANK.EXC(_xlfn._xlws.FILTER(H4:H125, ISNUMBER(H4:H125)),H113)</f>
        <v>0.27500000000000002</v>
      </c>
      <c r="I136" s="9" cm="1">
        <f t="array" ref="I136">_xlfn.PERCENTRANK.EXC(_xlfn._xlws.FILTER(I4:I125, ISNUMBER(I4:I125)),I113)</f>
        <v>0.35</v>
      </c>
      <c r="J136" s="9" cm="1">
        <f t="array" ref="J136">_xlfn.PERCENTRANK.EXC(_xlfn._xlws.FILTER(J4:J125, ISNUMBER(J4:J125)),J113)</f>
        <v>5.8000000000000003E-2</v>
      </c>
      <c r="K136" s="9" cm="1">
        <f t="array" ref="K136">_xlfn.PERCENTRANK.EXC(_xlfn._xlws.FILTER(K4:K125, ISNUMBER(K4:K125)),K113)</f>
        <v>0.1</v>
      </c>
      <c r="L136" s="9" cm="1">
        <f t="array" ref="L136">_xlfn.PERCENTRANK.EXC(_xlfn._xlws.FILTER(L4:L125, ISNUMBER(L4:L125)),L113)</f>
        <v>0.23300000000000001</v>
      </c>
      <c r="M136" s="9" cm="1">
        <f t="array" ref="M136">_xlfn.PERCENTRANK.EXC(_xlfn._xlws.FILTER(M4:M125, ISNUMBER(M4:M125)),M113)</f>
        <v>0.35799999999999998</v>
      </c>
      <c r="N136" s="9" cm="1">
        <f t="array" ref="N136">_xlfn.PERCENTRANK.EXC(_xlfn._xlws.FILTER(N4:N125, ISNUMBER(N4:N125)),N113)</f>
        <v>0.32500000000000001</v>
      </c>
      <c r="O136" s="9" cm="1">
        <f t="array" ref="O136">_xlfn.PERCENTRANK.EXC(_xlfn._xlws.FILTER(O4:O125, ISNUMBER(O4:O125)),O113)</f>
        <v>0.3</v>
      </c>
      <c r="P136" s="9" cm="1">
        <f t="array" ref="P136">_xlfn.PERCENTRANK.EXC(_xlfn._xlws.FILTER(P4:P125, ISNUMBER(P4:P125)),P113)</f>
        <v>0.23300000000000001</v>
      </c>
      <c r="Q136" s="9" cm="1">
        <f t="array" ref="Q136">_xlfn.PERCENTRANK.EXC(_xlfn._xlws.FILTER(Q4:Q125, ISNUMBER(Q4:Q125)),Q113)</f>
        <v>0.183</v>
      </c>
      <c r="R136" s="9" cm="1">
        <f t="array" ref="R136">_xlfn.PERCENTRANK.EXC(_xlfn._xlws.FILTER(R4:R125, ISNUMBER(R4:R125)),R113)</f>
        <v>3.3000000000000002E-2</v>
      </c>
      <c r="S136" s="9" cm="1">
        <f t="array" ref="S136">_xlfn.PERCENTRANK.EXC(_xlfn._xlws.FILTER(S4:S125, ISNUMBER(S4:S125)),S113)</f>
        <v>0.28299999999999997</v>
      </c>
      <c r="T136" s="9" cm="1">
        <f t="array" ref="T136">_xlfn.PERCENTRANK.EXC(_xlfn._xlws.FILTER(T4:T125, ISNUMBER(T4:T125)),T113)</f>
        <v>0.108</v>
      </c>
      <c r="U136" s="9" cm="1">
        <f t="array" ref="U136">_xlfn.PERCENTRANK.EXC(_xlfn._xlws.FILTER(U4:U125, ISNUMBER(U4:U125)),U113)</f>
        <v>1.6E-2</v>
      </c>
      <c r="V136" s="9" cm="1">
        <f t="array" ref="V136">_xlfn.PERCENTRANK.EXC(_xlfn._xlws.FILTER(V4:V125, ISNUMBER(V4:V125)),V113)</f>
        <v>0.158</v>
      </c>
    </row>
    <row r="138" spans="1:29" x14ac:dyDescent="0.35">
      <c r="A138" t="s">
        <v>855</v>
      </c>
      <c r="B138">
        <f>STDEV(B40:B122)</f>
        <v>5.5953475778157909E-2</v>
      </c>
      <c r="C138">
        <f t="shared" ref="C138:V138" si="2">STDEV(C40:C122)</f>
        <v>8.1760722547496015E-2</v>
      </c>
      <c r="D138">
        <f t="shared" si="2"/>
        <v>8.2567255559759925E-2</v>
      </c>
      <c r="E138">
        <f t="shared" si="2"/>
        <v>7.5404221897203819E-2</v>
      </c>
      <c r="F138">
        <f t="shared" si="2"/>
        <v>9.0135654546580748E-2</v>
      </c>
      <c r="G138">
        <f t="shared" si="2"/>
        <v>8.2246032513130354E-2</v>
      </c>
      <c r="H138">
        <f t="shared" si="2"/>
        <v>5.6304821127506982E-2</v>
      </c>
      <c r="I138">
        <f t="shared" si="2"/>
        <v>6.5122300435657629E-2</v>
      </c>
      <c r="J138">
        <f t="shared" si="2"/>
        <v>8.015777778532597E-2</v>
      </c>
      <c r="K138">
        <f t="shared" si="2"/>
        <v>7.8032353539310012E-2</v>
      </c>
      <c r="L138">
        <f t="shared" si="2"/>
        <v>0.10167687159011222</v>
      </c>
      <c r="M138">
        <f t="shared" si="2"/>
        <v>8.628180296365219E-2</v>
      </c>
      <c r="N138">
        <f t="shared" si="2"/>
        <v>9.2601525808948537E-2</v>
      </c>
      <c r="O138">
        <f t="shared" si="2"/>
        <v>6.352472464752966E-2</v>
      </c>
      <c r="P138">
        <f t="shared" si="2"/>
        <v>7.0756340831225811E-2</v>
      </c>
      <c r="Q138">
        <f t="shared" si="2"/>
        <v>5.0330053422295455E-2</v>
      </c>
      <c r="R138">
        <f t="shared" si="2"/>
        <v>5.330384165658196E-2</v>
      </c>
      <c r="S138">
        <f t="shared" si="2"/>
        <v>0.10184554522031444</v>
      </c>
      <c r="T138">
        <f t="shared" si="2"/>
        <v>5.857911633473311E-2</v>
      </c>
      <c r="U138">
        <f t="shared" si="2"/>
        <v>6.7475836459172767E-2</v>
      </c>
      <c r="V138">
        <f t="shared" si="2"/>
        <v>5.5532838719585254E-2</v>
      </c>
    </row>
    <row r="139" spans="1:29" x14ac:dyDescent="0.35">
      <c r="A139" t="s">
        <v>856</v>
      </c>
      <c r="B139" s="77">
        <f>B138*SQRT(12)</f>
        <v>0.19382852581568802</v>
      </c>
      <c r="C139" s="77">
        <f t="shared" ref="C139:V139" si="3">C138*SQRT(12)</f>
        <v>0.28322745103161073</v>
      </c>
      <c r="D139" s="77">
        <f t="shared" si="3"/>
        <v>0.28602136334205608</v>
      </c>
      <c r="E139" s="77">
        <f t="shared" si="3"/>
        <v>0.26120788686230939</v>
      </c>
      <c r="F139" s="77">
        <f t="shared" si="3"/>
        <v>0.31223906649630906</v>
      </c>
      <c r="G139" s="77">
        <f t="shared" si="3"/>
        <v>0.28490861406740714</v>
      </c>
      <c r="H139" s="77">
        <f t="shared" si="3"/>
        <v>0.1950456218078393</v>
      </c>
      <c r="I139" s="77">
        <f t="shared" si="3"/>
        <v>0.22559026612064767</v>
      </c>
      <c r="J139" s="77">
        <f t="shared" si="3"/>
        <v>0.27767468749200092</v>
      </c>
      <c r="K139" s="77">
        <f t="shared" si="3"/>
        <v>0.27031200192852406</v>
      </c>
      <c r="L139" s="77">
        <f t="shared" si="3"/>
        <v>0.35221901509746179</v>
      </c>
      <c r="M139" s="77">
        <f t="shared" si="3"/>
        <v>0.29888893300338504</v>
      </c>
      <c r="N139" s="77">
        <f t="shared" si="3"/>
        <v>0.32078109511899905</v>
      </c>
      <c r="O139" s="77">
        <f t="shared" si="3"/>
        <v>0.2200561012526886</v>
      </c>
      <c r="P139" s="77">
        <f t="shared" si="3"/>
        <v>0.24510715455468676</v>
      </c>
      <c r="Q139" s="77">
        <f t="shared" si="3"/>
        <v>0.17434841935014314</v>
      </c>
      <c r="R139" s="77">
        <f t="shared" si="3"/>
        <v>0.18464992397561267</v>
      </c>
      <c r="S139" s="77">
        <f t="shared" si="3"/>
        <v>0.35280331769227646</v>
      </c>
      <c r="T139" s="77">
        <f t="shared" si="3"/>
        <v>0.20292401150849138</v>
      </c>
      <c r="U139" s="77">
        <f t="shared" si="3"/>
        <v>0.23374315406099136</v>
      </c>
      <c r="V139" s="77">
        <f t="shared" si="3"/>
        <v>0.19237139630169969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W2613"/>
  <sheetViews>
    <sheetView zoomScaleNormal="100" workbookViewId="0">
      <pane ySplit="1" topLeftCell="A113" activePane="bottomLeft" state="frozen"/>
      <selection pane="bottomLeft" activeCell="B138" sqref="B138"/>
    </sheetView>
  </sheetViews>
  <sheetFormatPr defaultRowHeight="14.5" x14ac:dyDescent="0.35"/>
  <cols>
    <col min="1" max="1" width="24.54296875" customWidth="1"/>
    <col min="2" max="2" width="10.54296875" customWidth="1"/>
    <col min="22" max="22" width="9.1796875" style="1"/>
  </cols>
  <sheetData>
    <row r="1" spans="1:23" x14ac:dyDescent="0.35">
      <c r="A1" s="2" t="s">
        <v>390</v>
      </c>
      <c r="B1" s="3" t="s">
        <v>432</v>
      </c>
      <c r="C1" s="3" t="s">
        <v>27</v>
      </c>
      <c r="D1" s="3" t="s">
        <v>35</v>
      </c>
      <c r="E1" s="3" t="s">
        <v>30</v>
      </c>
      <c r="F1" s="3" t="s">
        <v>23</v>
      </c>
      <c r="G1" s="3" t="s">
        <v>29</v>
      </c>
      <c r="H1" s="3" t="s">
        <v>33</v>
      </c>
      <c r="I1" s="3" t="s">
        <v>24</v>
      </c>
      <c r="J1" s="3" t="s">
        <v>7</v>
      </c>
      <c r="K1" s="3" t="s">
        <v>21</v>
      </c>
      <c r="L1" s="3" t="s">
        <v>12</v>
      </c>
      <c r="M1" s="3" t="s">
        <v>22</v>
      </c>
      <c r="N1" s="3" t="s">
        <v>28</v>
      </c>
      <c r="O1" s="3" t="s">
        <v>32</v>
      </c>
      <c r="P1" s="3" t="s">
        <v>26</v>
      </c>
      <c r="Q1" s="3" t="s">
        <v>31</v>
      </c>
      <c r="R1" s="3" t="s">
        <v>757</v>
      </c>
      <c r="S1" s="3" t="s">
        <v>25</v>
      </c>
      <c r="T1" s="3" t="s">
        <v>34</v>
      </c>
      <c r="U1" s="3" t="s">
        <v>37</v>
      </c>
      <c r="V1" s="54" t="s">
        <v>36</v>
      </c>
    </row>
    <row r="2" spans="1:23" x14ac:dyDescent="0.35">
      <c r="A2" s="2" cm="1">
        <f t="array" ref="A2:A122">_xll.FDS(C1,"JULIAN(P_PRICE_RETURNS_PR('52W',2,-10AY,0,AM).dates)")</f>
        <v>41838</v>
      </c>
      <c r="B2" s="7" t="e" cm="1">
        <f t="array" ref="B2:B122">_xll.FDS(B1,"P_PRICE_RETURNS_PR('52W',2,-10AY,0,AM)")</f>
        <v>#N/A</v>
      </c>
      <c r="C2" s="7" cm="1">
        <f t="array" ref="C2:C122">_xll.FDS(C1,"P_PRICE_RETURNS_PR('52W',2,-10AY,0,AM)")</f>
        <v>-13.504637000000001</v>
      </c>
      <c r="D2" s="7" cm="1">
        <f t="array" ref="D2:D122">_xll.FDS(D1,"P_PRICE_RETURNS_PR('52W',2,-10AY,0,AM)")</f>
        <v>-3.0098677</v>
      </c>
      <c r="E2" s="7" cm="1">
        <f t="array" ref="E2:E122">_xll.FDS(E1,"P_PRICE_RETURNS_PR('52W',2,-10AY,0,AM)")</f>
        <v>2.6435852</v>
      </c>
      <c r="F2" s="7" cm="1">
        <f t="array" ref="F2:F122">_xll.FDS(F1,"P_PRICE_RETURNS_PR('52W',2,-10AY,0,AM)")</f>
        <v>16.050863</v>
      </c>
      <c r="G2" s="7" cm="1">
        <f t="array" ref="G2:G122">_xll.FDS(G1,"P_PRICE_RETURNS_PR('52W',2,-10AY,0,AM)")</f>
        <v>11.855232000000001</v>
      </c>
      <c r="H2" s="7" cm="1">
        <f t="array" ref="H2:H122">_xll.FDS(H1,"P_PRICE_RETURNS_PR('52W',2,-10AY,0,AM)")</f>
        <v>5.4963826999999998</v>
      </c>
      <c r="I2" s="7" cm="1">
        <f t="array" ref="I2:I122">_xll.FDS(I1,"P_PRICE_RETURNS_PR('52W',2,-10AY,0,AM)")</f>
        <v>19.088055000000001</v>
      </c>
      <c r="J2" s="7" cm="1">
        <f t="array" ref="J2:J122">_xll.FDS(J1,"P_PRICE_RETURNS_PR('52W',2,-10AY,0,AM)")</f>
        <v>7.1337339999999996</v>
      </c>
      <c r="K2" s="7" cm="1">
        <f t="array" ref="K2:K122">_xll.FDS(K1,"P_PRICE_RETURNS_PR('52W',2,-10AY,0,AM)")</f>
        <v>19.885517</v>
      </c>
      <c r="L2" s="7" cm="1">
        <f t="array" ref="L2:L122">_xll.FDS(L1,"P_PRICE_RETURNS_PR('52W',2,-10AY,0,AM)")</f>
        <v>17.600441</v>
      </c>
      <c r="M2" s="7" cm="1">
        <f t="array" ref="M2:M122">_xll.FDS(M1,"P_PRICE_RETURNS_PR('52W',2,-10AY,0,AM)")</f>
        <v>21.188545000000001</v>
      </c>
      <c r="N2" s="7" cm="1">
        <f t="array" ref="N2:N122">_xll.FDS(N1,"P_PRICE_RETURNS_PR('52W',2,-10AY,0,AM)")</f>
        <v>38.363030000000002</v>
      </c>
      <c r="O2" s="7" cm="1">
        <f t="array" ref="O2:O122">_xll.FDS(O1,"P_PRICE_RETURNS_PR('52W',2,-10AY,0,AM)")</f>
        <v>23.428785000000001</v>
      </c>
      <c r="P2" s="7" cm="1">
        <f t="array" ref="P2:P122">_xll.FDS(P1,"P_PRICE_RETURNS_PR('52W',2,-10AY,0,AM)")</f>
        <v>16.639327999999999</v>
      </c>
      <c r="Q2" s="7" t="e" cm="1">
        <f t="array" ref="Q2:Q122">_xll.FDS(Q1,"P_PRICE_RETURNS_PR('52W',2,-10AY,0,AM)")</f>
        <v>#N/A</v>
      </c>
      <c r="R2" s="7" cm="1">
        <f t="array" ref="R2:R122">_xll.FDS(R1,"P_PRICE_RETURNS_PR('52W',2,-10AY,0,AM)")</f>
        <v>3.1078815</v>
      </c>
      <c r="S2" s="7" cm="1">
        <f t="array" ref="S2:S122">_xll.FDS(S1,"P_PRICE_RETURNS_PR('52W',2,-10AY,0,AM)")</f>
        <v>-1.7637252999999999</v>
      </c>
      <c r="T2" s="7" t="e" cm="1">
        <f t="array" ref="T2:T122">_xll.FDS(T1,"P_PRICE_RETURNS_PR('52W',2,-10AY,0,AM)")</f>
        <v>#N/A</v>
      </c>
      <c r="U2" s="7" cm="1">
        <f t="array" ref="U2:U122">_xll.FDS(U1,"P_PRICE_RETURNS_PR('52W',2,-10AY,0,AM)")</f>
        <v>16.116534999999999</v>
      </c>
      <c r="V2" s="154" t="e" cm="1">
        <f t="array" ref="V2:V122">_xll.FDS(V1,"P_PRICE_RETURNS_PR('52W',2,-10AY,0,AM)")</f>
        <v>#N/A</v>
      </c>
      <c r="W2" s="24"/>
    </row>
    <row r="3" spans="1:23" x14ac:dyDescent="0.35">
      <c r="A3" s="2">
        <v>41870</v>
      </c>
      <c r="B3" s="7" t="e">
        <v>#N/A</v>
      </c>
      <c r="C3" s="7">
        <v>-6.9104013000000002</v>
      </c>
      <c r="D3" s="40">
        <v>14.553523</v>
      </c>
      <c r="E3" s="40">
        <v>15.7370205</v>
      </c>
      <c r="F3" s="40">
        <v>8.0066679999999995</v>
      </c>
      <c r="G3" s="40">
        <v>7.1440815999999998</v>
      </c>
      <c r="H3" s="40">
        <v>13.607586</v>
      </c>
      <c r="I3" s="40">
        <v>25.197337999999998</v>
      </c>
      <c r="J3" s="40">
        <v>10.327792000000001</v>
      </c>
      <c r="K3" s="40">
        <v>20.630718000000002</v>
      </c>
      <c r="L3" s="40">
        <v>23.987293000000001</v>
      </c>
      <c r="M3" s="40">
        <v>23.494398</v>
      </c>
      <c r="N3" s="40">
        <v>19.882954000000002</v>
      </c>
      <c r="O3" s="40">
        <v>50.759148000000003</v>
      </c>
      <c r="P3" s="40">
        <v>17.776812</v>
      </c>
      <c r="Q3" s="40" t="e">
        <v>#N/A</v>
      </c>
      <c r="R3" s="40">
        <v>10.323345</v>
      </c>
      <c r="S3" s="40">
        <v>1.6568780000000001</v>
      </c>
      <c r="T3" s="40" t="e">
        <v>#N/A</v>
      </c>
      <c r="U3" s="40">
        <v>22.397196000000001</v>
      </c>
      <c r="V3" s="155" t="e">
        <v>#N/A</v>
      </c>
      <c r="W3" s="24"/>
    </row>
    <row r="4" spans="1:23" x14ac:dyDescent="0.35">
      <c r="A4" s="2">
        <v>41901</v>
      </c>
      <c r="B4" s="7" t="e">
        <v>#N/A</v>
      </c>
      <c r="C4" s="7">
        <v>-19.111896999999999</v>
      </c>
      <c r="D4" s="40">
        <v>2.4407863999999999</v>
      </c>
      <c r="E4" s="40">
        <v>7.6472759999999997</v>
      </c>
      <c r="F4" s="40">
        <v>4.1806935999999997</v>
      </c>
      <c r="G4" s="40">
        <v>6.0207962999999998</v>
      </c>
      <c r="H4" s="40">
        <v>0.52717924000000005</v>
      </c>
      <c r="I4" s="40">
        <v>12.240266999999999</v>
      </c>
      <c r="J4" s="40">
        <v>5.6053280000000001</v>
      </c>
      <c r="K4" s="40">
        <v>0.55388210000000004</v>
      </c>
      <c r="L4" s="40">
        <v>-0.41501522000000002</v>
      </c>
      <c r="M4" s="40">
        <v>4.3397902999999998</v>
      </c>
      <c r="N4" s="40">
        <v>3.0035376999999999</v>
      </c>
      <c r="O4" s="40">
        <v>31.765902000000001</v>
      </c>
      <c r="P4" s="40">
        <v>5.3814890000000002</v>
      </c>
      <c r="Q4" s="40" t="e">
        <v>#N/A</v>
      </c>
      <c r="R4" s="40">
        <v>6.4369440000000004</v>
      </c>
      <c r="S4" s="40">
        <v>-15.017652500000001</v>
      </c>
      <c r="T4" s="40" t="e">
        <v>#N/A</v>
      </c>
      <c r="U4" s="40">
        <v>26.981210000000001</v>
      </c>
      <c r="V4" s="155" t="e">
        <v>#N/A</v>
      </c>
      <c r="W4" s="24"/>
    </row>
    <row r="5" spans="1:23" x14ac:dyDescent="0.35">
      <c r="A5" s="2">
        <v>41929</v>
      </c>
      <c r="B5" s="7" t="e">
        <v>#N/A</v>
      </c>
      <c r="C5" s="7">
        <v>-19.437849</v>
      </c>
      <c r="D5" s="40">
        <v>2.7158022000000002</v>
      </c>
      <c r="E5" s="40">
        <v>5.9109926000000002</v>
      </c>
      <c r="F5" s="40">
        <v>-9.9251749999999994</v>
      </c>
      <c r="G5" s="40">
        <v>-1.2054741</v>
      </c>
      <c r="H5" s="40">
        <v>-4.4519067000000003</v>
      </c>
      <c r="I5" s="40">
        <v>3.8908361999999999</v>
      </c>
      <c r="J5" s="40">
        <v>1.4640926999999999</v>
      </c>
      <c r="K5" s="40">
        <v>-11.749506</v>
      </c>
      <c r="L5" s="40">
        <v>-8.4769909999999999</v>
      </c>
      <c r="M5" s="40">
        <v>-2.5298178</v>
      </c>
      <c r="N5" s="40">
        <v>-24.661266000000001</v>
      </c>
      <c r="O5" s="40">
        <v>23.194980000000001</v>
      </c>
      <c r="P5" s="40">
        <v>1.470685</v>
      </c>
      <c r="Q5" s="40" t="e">
        <v>#N/A</v>
      </c>
      <c r="R5" s="40">
        <v>4.0582894999999999</v>
      </c>
      <c r="S5" s="40">
        <v>-13.806336999999999</v>
      </c>
      <c r="T5" s="40" t="e">
        <v>#N/A</v>
      </c>
      <c r="U5" s="40">
        <v>12.045788999999999</v>
      </c>
      <c r="V5" s="155" t="e">
        <v>#N/A</v>
      </c>
      <c r="W5" s="24"/>
    </row>
    <row r="6" spans="1:23" x14ac:dyDescent="0.35">
      <c r="A6" s="2">
        <v>41962</v>
      </c>
      <c r="B6" s="7" t="e">
        <v>#N/A</v>
      </c>
      <c r="C6" s="7">
        <v>-11.562704999999999</v>
      </c>
      <c r="D6" s="40">
        <v>16.529655000000002</v>
      </c>
      <c r="E6" s="40">
        <v>16.379774000000001</v>
      </c>
      <c r="F6" s="40">
        <v>-11.191998999999999</v>
      </c>
      <c r="G6" s="40">
        <v>3.6610483999999999</v>
      </c>
      <c r="H6" s="40">
        <v>-3.5265982</v>
      </c>
      <c r="I6" s="40">
        <v>12.547815</v>
      </c>
      <c r="J6" s="40">
        <v>2.9988290000000002</v>
      </c>
      <c r="K6" s="40">
        <v>-11.692762</v>
      </c>
      <c r="L6" s="40">
        <v>-12.613541</v>
      </c>
      <c r="M6" s="40">
        <v>11.977636</v>
      </c>
      <c r="N6" s="40">
        <v>-23.511521999999999</v>
      </c>
      <c r="O6" s="40">
        <v>32.972442999999998</v>
      </c>
      <c r="P6" s="40">
        <v>-0.84475875</v>
      </c>
      <c r="Q6" s="40" t="e">
        <v>#N/A</v>
      </c>
      <c r="R6" s="40">
        <v>11.689711000000001</v>
      </c>
      <c r="S6" s="40">
        <v>0.44485330000000001</v>
      </c>
      <c r="T6" s="40" t="e">
        <v>#N/A</v>
      </c>
      <c r="U6" s="40">
        <v>9.9777579999999997</v>
      </c>
      <c r="V6" s="155" t="e">
        <v>#N/A</v>
      </c>
      <c r="W6" s="24"/>
    </row>
    <row r="7" spans="1:23" x14ac:dyDescent="0.35">
      <c r="A7" s="2">
        <v>41992</v>
      </c>
      <c r="B7" s="7" t="e">
        <v>#N/A</v>
      </c>
      <c r="C7" s="7">
        <v>-13.325566</v>
      </c>
      <c r="D7" s="40">
        <v>22.931457999999999</v>
      </c>
      <c r="E7" s="40">
        <v>22.17493</v>
      </c>
      <c r="F7" s="40">
        <v>-12.511433</v>
      </c>
      <c r="G7" s="40">
        <v>-1.9549369999999999</v>
      </c>
      <c r="H7" s="40">
        <v>-11.057990999999999</v>
      </c>
      <c r="I7" s="40">
        <v>9.642887</v>
      </c>
      <c r="J7" s="40">
        <v>-9.7075220000000009</v>
      </c>
      <c r="K7" s="40">
        <v>-9.5768629999999995</v>
      </c>
      <c r="L7" s="40">
        <v>-15.641802999999999</v>
      </c>
      <c r="M7" s="40">
        <v>7.7868940000000002</v>
      </c>
      <c r="N7" s="40">
        <v>-33.617953999999997</v>
      </c>
      <c r="O7" s="40">
        <v>26.501083000000001</v>
      </c>
      <c r="P7" s="40">
        <v>6.4039469999999996</v>
      </c>
      <c r="Q7" s="40" t="e">
        <v>#N/A</v>
      </c>
      <c r="R7" s="40">
        <v>12.454796</v>
      </c>
      <c r="S7" s="40">
        <v>8.2533359999999991</v>
      </c>
      <c r="T7" s="40" t="e">
        <v>#N/A</v>
      </c>
      <c r="U7" s="40">
        <v>1.3891578</v>
      </c>
      <c r="V7" s="155" t="e">
        <v>#N/A</v>
      </c>
      <c r="W7" s="24"/>
    </row>
    <row r="8" spans="1:23" x14ac:dyDescent="0.35">
      <c r="A8" s="2">
        <v>42020</v>
      </c>
      <c r="B8" s="7" t="e">
        <v>#N/A</v>
      </c>
      <c r="C8" s="7">
        <v>-15.981446999999999</v>
      </c>
      <c r="D8" s="40">
        <v>16.170096999999998</v>
      </c>
      <c r="E8" s="40">
        <v>31.425262</v>
      </c>
      <c r="F8" s="40">
        <v>-20.318491000000002</v>
      </c>
      <c r="G8" s="40">
        <v>-8.4378779999999995</v>
      </c>
      <c r="H8" s="40">
        <v>-8.5803449999999994</v>
      </c>
      <c r="I8" s="40">
        <v>8.8167190000000009</v>
      </c>
      <c r="J8" s="40">
        <v>-10.168666</v>
      </c>
      <c r="K8" s="40">
        <v>-6.3290176000000002</v>
      </c>
      <c r="L8" s="40">
        <v>-10.568523000000001</v>
      </c>
      <c r="M8" s="40">
        <v>8.8422889999999992</v>
      </c>
      <c r="N8" s="40">
        <v>-46.186</v>
      </c>
      <c r="O8" s="40">
        <v>30.541944999999998</v>
      </c>
      <c r="P8" s="40">
        <v>14.160466</v>
      </c>
      <c r="Q8" s="40" t="e">
        <v>#N/A</v>
      </c>
      <c r="R8" s="40">
        <v>18.523859999999999</v>
      </c>
      <c r="S8" s="40">
        <v>25.653780000000001</v>
      </c>
      <c r="T8" s="40" t="e">
        <v>#N/A</v>
      </c>
      <c r="U8" s="40">
        <v>-6.6027699999999996</v>
      </c>
      <c r="V8" s="155" t="e">
        <v>#N/A</v>
      </c>
      <c r="W8" s="24"/>
    </row>
    <row r="9" spans="1:23" x14ac:dyDescent="0.35">
      <c r="A9" s="2">
        <v>42054</v>
      </c>
      <c r="B9" s="7" t="e">
        <v>#N/A</v>
      </c>
      <c r="C9" s="7">
        <v>-3.1895696999999998</v>
      </c>
      <c r="D9" s="40">
        <v>10.990822</v>
      </c>
      <c r="E9" s="40">
        <v>28.732765000000001</v>
      </c>
      <c r="F9" s="40">
        <v>-18.794436000000001</v>
      </c>
      <c r="G9" s="40">
        <v>-7.4723186000000004</v>
      </c>
      <c r="H9" s="40">
        <v>-8.4546930000000007</v>
      </c>
      <c r="I9" s="40">
        <v>15.846003</v>
      </c>
      <c r="J9" s="40">
        <v>-3.8151860000000002</v>
      </c>
      <c r="K9" s="40">
        <v>-5.292243</v>
      </c>
      <c r="L9" s="40">
        <v>-9.2380759999999995</v>
      </c>
      <c r="M9" s="40">
        <v>16.973006999999999</v>
      </c>
      <c r="N9" s="40">
        <v>-44.075347999999998</v>
      </c>
      <c r="O9" s="40">
        <v>41.905929999999998</v>
      </c>
      <c r="P9" s="40">
        <v>17.523539</v>
      </c>
      <c r="Q9" s="40" t="e">
        <v>#N/A</v>
      </c>
      <c r="R9" s="40">
        <v>21.117329000000002</v>
      </c>
      <c r="S9" s="40">
        <v>23.247646</v>
      </c>
      <c r="T9" s="40" t="e">
        <v>#N/A</v>
      </c>
      <c r="U9" s="40">
        <v>-10.791575999999999</v>
      </c>
      <c r="V9" s="155" t="e">
        <v>#N/A</v>
      </c>
      <c r="W9" s="24"/>
    </row>
    <row r="10" spans="1:23" x14ac:dyDescent="0.35">
      <c r="A10" s="2">
        <v>42082</v>
      </c>
      <c r="B10" s="7" t="e">
        <v>#N/A</v>
      </c>
      <c r="C10" s="7">
        <v>-7.7876805999999998</v>
      </c>
      <c r="D10" s="40">
        <v>-1.0143578</v>
      </c>
      <c r="E10" s="40">
        <v>22.133742999999999</v>
      </c>
      <c r="F10" s="40">
        <v>-17.236006</v>
      </c>
      <c r="G10" s="40">
        <v>-7.0698204000000002</v>
      </c>
      <c r="H10" s="40">
        <v>-10.112124</v>
      </c>
      <c r="I10" s="40">
        <v>17.225574000000002</v>
      </c>
      <c r="J10" s="40">
        <v>-2.2693515</v>
      </c>
      <c r="K10" s="40">
        <v>-1.5693784</v>
      </c>
      <c r="L10" s="40">
        <v>-23.039739999999998</v>
      </c>
      <c r="M10" s="40">
        <v>7.7056766000000003</v>
      </c>
      <c r="N10" s="40">
        <v>-59.025706999999997</v>
      </c>
      <c r="O10" s="40">
        <v>30.038689999999999</v>
      </c>
      <c r="P10" s="40">
        <v>27.057302</v>
      </c>
      <c r="Q10" s="40" t="e">
        <v>#N/A</v>
      </c>
      <c r="R10" s="40">
        <v>12.30402</v>
      </c>
      <c r="S10" s="40">
        <v>7.7951790000000001</v>
      </c>
      <c r="T10" s="40" t="e">
        <v>#N/A</v>
      </c>
      <c r="U10" s="40">
        <v>-18.346744999999999</v>
      </c>
      <c r="V10" s="155" t="e">
        <v>#N/A</v>
      </c>
      <c r="W10" s="24"/>
    </row>
    <row r="11" spans="1:23" x14ac:dyDescent="0.35">
      <c r="A11" s="2">
        <v>42111</v>
      </c>
      <c r="B11" s="7" t="e">
        <v>#N/A</v>
      </c>
      <c r="C11" s="7">
        <v>-8.1782760000000003</v>
      </c>
      <c r="D11" s="40">
        <v>-1.3202130999999999</v>
      </c>
      <c r="E11" s="40">
        <v>17.319762999999998</v>
      </c>
      <c r="F11" s="40">
        <v>-14.472026</v>
      </c>
      <c r="G11" s="40">
        <v>-9.9787350000000004</v>
      </c>
      <c r="H11" s="40">
        <v>-10.060560000000001</v>
      </c>
      <c r="I11" s="40">
        <v>7.8618290000000002</v>
      </c>
      <c r="J11" s="40">
        <v>-6.9668349999999997</v>
      </c>
      <c r="K11" s="40">
        <v>-3.0418693999999999</v>
      </c>
      <c r="L11" s="40">
        <v>-24.956250000000001</v>
      </c>
      <c r="M11" s="40">
        <v>6.3197374000000002</v>
      </c>
      <c r="N11" s="40">
        <v>-54.892060000000001</v>
      </c>
      <c r="O11" s="40">
        <v>21.466839</v>
      </c>
      <c r="P11" s="40">
        <v>38.168216999999999</v>
      </c>
      <c r="Q11" s="40" t="e">
        <v>#N/A</v>
      </c>
      <c r="R11" s="40">
        <v>11.220348</v>
      </c>
      <c r="S11" s="40">
        <v>-10.767567</v>
      </c>
      <c r="T11" s="40" t="e">
        <v>#N/A</v>
      </c>
      <c r="U11" s="40">
        <v>-9.5542010000000008</v>
      </c>
      <c r="V11" s="155" t="e">
        <v>#N/A</v>
      </c>
      <c r="W11" s="24"/>
    </row>
    <row r="12" spans="1:23" x14ac:dyDescent="0.35">
      <c r="A12" s="2">
        <v>42143</v>
      </c>
      <c r="B12" s="7" t="e">
        <v>#N/A</v>
      </c>
      <c r="C12" s="7">
        <v>-7.5067576999999996</v>
      </c>
      <c r="D12" s="40">
        <v>-9.3932629999999993</v>
      </c>
      <c r="E12" s="40">
        <v>11.151934000000001</v>
      </c>
      <c r="F12" s="40">
        <v>-9.2822309999999995</v>
      </c>
      <c r="G12" s="40">
        <v>-10.314054</v>
      </c>
      <c r="H12" s="40">
        <v>-13.849169</v>
      </c>
      <c r="I12" s="40">
        <v>14.134848</v>
      </c>
      <c r="J12" s="40">
        <v>-8.8703269999999996</v>
      </c>
      <c r="K12" s="40">
        <v>-7.6088486</v>
      </c>
      <c r="L12" s="40">
        <v>-24.922007000000001</v>
      </c>
      <c r="M12" s="40">
        <v>1.4494061</v>
      </c>
      <c r="N12" s="40">
        <v>-36.454210000000003</v>
      </c>
      <c r="O12" s="40">
        <v>5.4370045999999999</v>
      </c>
      <c r="P12" s="40">
        <v>40.883923000000003</v>
      </c>
      <c r="Q12" s="40">
        <v>-2.5634408</v>
      </c>
      <c r="R12" s="40">
        <v>8.1757779999999993</v>
      </c>
      <c r="S12" s="40">
        <v>-4.4232550000000002</v>
      </c>
      <c r="T12" s="40">
        <v>-12.189752</v>
      </c>
      <c r="U12" s="40">
        <v>-13.284338</v>
      </c>
      <c r="V12" s="155" t="e">
        <v>#N/A</v>
      </c>
      <c r="W12" s="24"/>
    </row>
    <row r="13" spans="1:23" x14ac:dyDescent="0.35">
      <c r="A13" s="2">
        <v>42174</v>
      </c>
      <c r="B13" s="7" t="e">
        <v>#N/A</v>
      </c>
      <c r="C13" s="7">
        <v>-14.715617999999999</v>
      </c>
      <c r="D13" s="40">
        <v>-9.0279875000000001</v>
      </c>
      <c r="E13" s="40">
        <v>9.7574710000000007</v>
      </c>
      <c r="F13" s="40">
        <v>-21.567641999999999</v>
      </c>
      <c r="G13" s="40">
        <v>-15.169549</v>
      </c>
      <c r="H13" s="40">
        <v>-20.44453</v>
      </c>
      <c r="I13" s="40">
        <v>2.3704052</v>
      </c>
      <c r="J13" s="40">
        <v>-12.485045</v>
      </c>
      <c r="K13" s="40">
        <v>-12.649345</v>
      </c>
      <c r="L13" s="40">
        <v>-29.463927999999999</v>
      </c>
      <c r="M13" s="40">
        <v>-5.3295193000000003</v>
      </c>
      <c r="N13" s="40">
        <v>-53.641975000000002</v>
      </c>
      <c r="O13" s="40">
        <v>2.757895</v>
      </c>
      <c r="P13" s="40">
        <v>24.781227000000001</v>
      </c>
      <c r="Q13" s="40">
        <v>-2.9325306000000002</v>
      </c>
      <c r="R13" s="40">
        <v>2.0213245999999998</v>
      </c>
      <c r="S13" s="40">
        <v>-16.875208000000001</v>
      </c>
      <c r="T13" s="40">
        <v>-10.103111999999999</v>
      </c>
      <c r="U13" s="40">
        <v>-10.855048999999999</v>
      </c>
      <c r="V13" s="155" t="e">
        <v>#N/A</v>
      </c>
      <c r="W13" s="24"/>
    </row>
    <row r="14" spans="1:23" x14ac:dyDescent="0.35">
      <c r="A14" s="2">
        <v>42202</v>
      </c>
      <c r="B14" s="7" t="e">
        <v>#N/A</v>
      </c>
      <c r="C14" s="7">
        <v>-15.237576000000001</v>
      </c>
      <c r="D14" s="40">
        <v>-16.005659999999999</v>
      </c>
      <c r="E14" s="40">
        <v>6.7973970000000001</v>
      </c>
      <c r="F14" s="40">
        <v>-18.682390000000002</v>
      </c>
      <c r="G14" s="40">
        <v>-21.296382999999999</v>
      </c>
      <c r="H14" s="40">
        <v>-21.117079</v>
      </c>
      <c r="I14" s="40">
        <v>-0.27080177999999999</v>
      </c>
      <c r="J14" s="40">
        <v>-16.235600999999999</v>
      </c>
      <c r="K14" s="40">
        <v>-16.167486</v>
      </c>
      <c r="L14" s="40">
        <v>-33.235190000000003</v>
      </c>
      <c r="M14" s="40">
        <v>-3.0081391000000002</v>
      </c>
      <c r="N14" s="40">
        <v>-51.588290000000001</v>
      </c>
      <c r="O14" s="40">
        <v>7.8837276000000003</v>
      </c>
      <c r="P14" s="40">
        <v>13.102138500000001</v>
      </c>
      <c r="Q14" s="40">
        <v>-9.4655810000000002</v>
      </c>
      <c r="R14" s="40">
        <v>-3.6694287999999999</v>
      </c>
      <c r="S14" s="40">
        <v>-16.176169999999999</v>
      </c>
      <c r="T14" s="40">
        <v>-10.642302000000001</v>
      </c>
      <c r="U14" s="40">
        <v>-8.3365679999999998</v>
      </c>
      <c r="V14" s="155" t="e">
        <v>#N/A</v>
      </c>
      <c r="W14" s="24"/>
    </row>
    <row r="15" spans="1:23" x14ac:dyDescent="0.35">
      <c r="A15" s="2">
        <v>42235</v>
      </c>
      <c r="B15" s="7" t="e">
        <v>#N/A</v>
      </c>
      <c r="C15" s="7">
        <v>-21.222328000000001</v>
      </c>
      <c r="D15" s="40">
        <v>-30.089860000000002</v>
      </c>
      <c r="E15" s="40">
        <v>-4.7870755000000003</v>
      </c>
      <c r="F15" s="40">
        <v>-21.59497</v>
      </c>
      <c r="G15" s="40">
        <v>-35.615825999999998</v>
      </c>
      <c r="H15" s="40">
        <v>-35.623382999999997</v>
      </c>
      <c r="I15" s="40">
        <v>-17.595364</v>
      </c>
      <c r="J15" s="40">
        <v>-24.156248000000001</v>
      </c>
      <c r="K15" s="40">
        <v>-27.475649000000001</v>
      </c>
      <c r="L15" s="40">
        <v>-47.928493000000003</v>
      </c>
      <c r="M15" s="40">
        <v>-15.904456</v>
      </c>
      <c r="N15" s="40">
        <v>-50.524700000000003</v>
      </c>
      <c r="O15" s="40">
        <v>-1.2532532000000001</v>
      </c>
      <c r="P15" s="40">
        <v>-5.8160543000000002</v>
      </c>
      <c r="Q15" s="40">
        <v>-15.499753</v>
      </c>
      <c r="R15" s="40">
        <v>-10.612178</v>
      </c>
      <c r="S15" s="40">
        <v>-29.166550000000001</v>
      </c>
      <c r="T15" s="40">
        <v>-19.193107999999999</v>
      </c>
      <c r="U15" s="40">
        <v>-22.40625</v>
      </c>
      <c r="V15" s="155" t="e">
        <v>#N/A</v>
      </c>
      <c r="W15" s="24"/>
    </row>
    <row r="16" spans="1:23" x14ac:dyDescent="0.35">
      <c r="A16" s="2">
        <v>42265</v>
      </c>
      <c r="B16" s="7" t="e">
        <v>#N/A</v>
      </c>
      <c r="C16" s="7">
        <v>-17.466963</v>
      </c>
      <c r="D16" s="40">
        <v>-33.419840000000001</v>
      </c>
      <c r="E16" s="40">
        <v>-8.188504</v>
      </c>
      <c r="F16" s="40">
        <v>-22.472840999999999</v>
      </c>
      <c r="G16" s="40">
        <v>-36.026108000000001</v>
      </c>
      <c r="H16" s="40">
        <v>-30.033695000000002</v>
      </c>
      <c r="I16" s="40">
        <v>-12.224859</v>
      </c>
      <c r="J16" s="40">
        <v>-24.180911999999999</v>
      </c>
      <c r="K16" s="40">
        <v>-20.393068</v>
      </c>
      <c r="L16" s="40">
        <v>-51.555329999999998</v>
      </c>
      <c r="M16" s="40">
        <v>-16.128899000000001</v>
      </c>
      <c r="N16" s="40">
        <v>-45.502865</v>
      </c>
      <c r="O16" s="40">
        <v>-10.508621</v>
      </c>
      <c r="P16" s="40">
        <v>-8.4565999999999999</v>
      </c>
      <c r="Q16" s="40">
        <v>-19.081973999999999</v>
      </c>
      <c r="R16" s="40">
        <v>-12.240017</v>
      </c>
      <c r="S16" s="40">
        <v>-28.540199999999999</v>
      </c>
      <c r="T16" s="40">
        <v>-26.024372</v>
      </c>
      <c r="U16" s="40">
        <v>-28.748629999999999</v>
      </c>
      <c r="V16" s="155" t="e">
        <v>#N/A</v>
      </c>
      <c r="W16" s="24"/>
    </row>
    <row r="17" spans="1:23" x14ac:dyDescent="0.35">
      <c r="A17" s="2">
        <v>42296</v>
      </c>
      <c r="B17" s="7" t="e">
        <v>#N/A</v>
      </c>
      <c r="C17" s="7">
        <v>-13.218451</v>
      </c>
      <c r="D17" s="40">
        <v>-21.337758999999998</v>
      </c>
      <c r="E17" s="40">
        <v>-3.2980860000000001</v>
      </c>
      <c r="F17" s="40">
        <v>-17.405253999999999</v>
      </c>
      <c r="G17" s="40">
        <v>-29.167694000000001</v>
      </c>
      <c r="H17" s="40">
        <v>-25.263833999999999</v>
      </c>
      <c r="I17" s="40">
        <v>-2.2065519999999998</v>
      </c>
      <c r="J17" s="40">
        <v>-15.008205</v>
      </c>
      <c r="K17" s="40">
        <v>-3.7881195999999999</v>
      </c>
      <c r="L17" s="40">
        <v>-46.144550000000002</v>
      </c>
      <c r="M17" s="40">
        <v>-4.6175660000000001</v>
      </c>
      <c r="N17" s="40">
        <v>-37.175834999999999</v>
      </c>
      <c r="O17" s="40">
        <v>6.0057640000000002E-2</v>
      </c>
      <c r="P17" s="40">
        <v>4.6082020000000004</v>
      </c>
      <c r="Q17" s="40">
        <v>-8.5496429999999997</v>
      </c>
      <c r="R17" s="40">
        <v>-7.3133526</v>
      </c>
      <c r="S17" s="40">
        <v>-17.294025000000001</v>
      </c>
      <c r="T17" s="40">
        <v>-10.392809</v>
      </c>
      <c r="U17" s="40">
        <v>-14.443291</v>
      </c>
      <c r="V17" s="155" t="e">
        <v>#N/A</v>
      </c>
      <c r="W17" s="24"/>
    </row>
    <row r="18" spans="1:23" x14ac:dyDescent="0.35">
      <c r="A18" s="2">
        <v>42327</v>
      </c>
      <c r="B18" s="7" t="e">
        <v>#N/A</v>
      </c>
      <c r="C18" s="7">
        <v>-19.990379999999998</v>
      </c>
      <c r="D18" s="40">
        <v>-23.524391000000001</v>
      </c>
      <c r="E18" s="40">
        <v>-10.196501</v>
      </c>
      <c r="F18" s="40">
        <v>-25.582588000000001</v>
      </c>
      <c r="G18" s="40">
        <v>-31.919294000000001</v>
      </c>
      <c r="H18" s="40">
        <v>-27.306276</v>
      </c>
      <c r="I18" s="40">
        <v>-9.6639160000000004</v>
      </c>
      <c r="J18" s="40">
        <v>-16.023987000000002</v>
      </c>
      <c r="K18" s="40">
        <v>-4.6759843999999999</v>
      </c>
      <c r="L18" s="40">
        <v>-36.688941999999997</v>
      </c>
      <c r="M18" s="40">
        <v>-17.889880999999999</v>
      </c>
      <c r="N18" s="40">
        <v>-42.021540000000002</v>
      </c>
      <c r="O18" s="40">
        <v>-13.258463000000001</v>
      </c>
      <c r="P18" s="40">
        <v>0.59390069999999995</v>
      </c>
      <c r="Q18" s="40">
        <v>-21.132677000000001</v>
      </c>
      <c r="R18" s="40">
        <v>-12.207544</v>
      </c>
      <c r="S18" s="40">
        <v>-21.390062</v>
      </c>
      <c r="T18" s="40">
        <v>-26.937538</v>
      </c>
      <c r="U18" s="40">
        <v>-19.301234999999998</v>
      </c>
      <c r="V18" s="155" t="e">
        <v>#N/A</v>
      </c>
      <c r="W18" s="24"/>
    </row>
    <row r="19" spans="1:23" x14ac:dyDescent="0.35">
      <c r="A19" s="2">
        <v>42356</v>
      </c>
      <c r="B19" s="7" t="e">
        <v>#N/A</v>
      </c>
      <c r="C19" s="7">
        <v>-17.679463999999999</v>
      </c>
      <c r="D19" s="40">
        <v>-23.349029999999999</v>
      </c>
      <c r="E19" s="40">
        <v>-11.447710000000001</v>
      </c>
      <c r="F19" s="40">
        <v>-26.448286</v>
      </c>
      <c r="G19" s="40">
        <v>-36.079524999999997</v>
      </c>
      <c r="H19" s="40">
        <v>-21.476316000000001</v>
      </c>
      <c r="I19" s="40">
        <v>-10.440678</v>
      </c>
      <c r="J19" s="40">
        <v>-12.511474</v>
      </c>
      <c r="K19" s="40">
        <v>-7.3113203000000002</v>
      </c>
      <c r="L19" s="40">
        <v>-39.361083999999998</v>
      </c>
      <c r="M19" s="40">
        <v>-26.207858999999999</v>
      </c>
      <c r="N19" s="40">
        <v>-42.953879999999998</v>
      </c>
      <c r="O19" s="40">
        <v>-8.8526310000000006</v>
      </c>
      <c r="P19" s="40">
        <v>-5.931324</v>
      </c>
      <c r="Q19" s="40">
        <v>-18.581140000000001</v>
      </c>
      <c r="R19" s="40">
        <v>-15.286886000000001</v>
      </c>
      <c r="S19" s="40">
        <v>-29.564167000000001</v>
      </c>
      <c r="T19" s="40">
        <v>-14.986837</v>
      </c>
      <c r="U19" s="40">
        <v>-20.645958</v>
      </c>
      <c r="V19" s="155" t="e">
        <v>#N/A</v>
      </c>
      <c r="W19" s="24"/>
    </row>
    <row r="20" spans="1:23" x14ac:dyDescent="0.35">
      <c r="A20" s="2">
        <v>42388</v>
      </c>
      <c r="B20" s="7" t="e">
        <v>#N/A</v>
      </c>
      <c r="C20" s="7">
        <v>-19.506014</v>
      </c>
      <c r="D20" s="40">
        <v>-22.937636999999999</v>
      </c>
      <c r="E20" s="40">
        <v>-24.540292999999998</v>
      </c>
      <c r="F20" s="40">
        <v>-27.427315</v>
      </c>
      <c r="G20" s="40">
        <v>-39.604059999999997</v>
      </c>
      <c r="H20" s="40">
        <v>-24.627865</v>
      </c>
      <c r="I20" s="40">
        <v>-20.228819999999999</v>
      </c>
      <c r="J20" s="40">
        <v>-21.077293000000001</v>
      </c>
      <c r="K20" s="40">
        <v>-14.814061000000001</v>
      </c>
      <c r="L20" s="40">
        <v>-48.856037000000001</v>
      </c>
      <c r="M20" s="40">
        <v>-37.563113999999999</v>
      </c>
      <c r="N20" s="40">
        <v>-44.867671999999999</v>
      </c>
      <c r="O20" s="40">
        <v>-20.978428000000001</v>
      </c>
      <c r="P20" s="40">
        <v>-22.262371000000002</v>
      </c>
      <c r="Q20" s="40">
        <v>-27.174811999999999</v>
      </c>
      <c r="R20" s="40">
        <v>-17.543655000000001</v>
      </c>
      <c r="S20" s="40">
        <v>-37.867854999999999</v>
      </c>
      <c r="T20" s="40">
        <v>-28.018082</v>
      </c>
      <c r="U20" s="40">
        <v>-28.276402000000001</v>
      </c>
      <c r="V20" s="155" t="e">
        <v>#N/A</v>
      </c>
      <c r="W20" s="24"/>
    </row>
    <row r="21" spans="1:23" x14ac:dyDescent="0.35">
      <c r="A21" s="2">
        <v>42419</v>
      </c>
      <c r="B21" s="40" t="e">
        <v>#N/A</v>
      </c>
      <c r="C21" s="40">
        <v>-16.111332000000001</v>
      </c>
      <c r="D21" s="40">
        <v>-18.431001999999999</v>
      </c>
      <c r="E21" s="40">
        <v>-20.977861000000001</v>
      </c>
      <c r="F21" s="40">
        <v>-22.410571999999998</v>
      </c>
      <c r="G21" s="40">
        <v>-29.029823</v>
      </c>
      <c r="H21" s="40">
        <v>-18.465126000000001</v>
      </c>
      <c r="I21" s="40">
        <v>-17.346066</v>
      </c>
      <c r="J21" s="40">
        <v>-16.814793000000002</v>
      </c>
      <c r="K21" s="40">
        <v>-14.328331</v>
      </c>
      <c r="L21" s="40">
        <v>-41.658847999999999</v>
      </c>
      <c r="M21" s="40">
        <v>-30.944472999999999</v>
      </c>
      <c r="N21" s="40">
        <v>-51.235016000000002</v>
      </c>
      <c r="O21" s="40">
        <v>-25.884509999999999</v>
      </c>
      <c r="P21" s="40">
        <v>-24.257850000000001</v>
      </c>
      <c r="Q21" s="40">
        <v>-21.194035</v>
      </c>
      <c r="R21" s="40">
        <v>-17.486065</v>
      </c>
      <c r="S21" s="40">
        <v>-28.059864000000001</v>
      </c>
      <c r="T21" s="40">
        <v>-20.239449</v>
      </c>
      <c r="U21" s="40">
        <v>-26.067226000000002</v>
      </c>
      <c r="V21" s="155" t="e">
        <v>#N/A</v>
      </c>
      <c r="W21" s="24"/>
    </row>
    <row r="22" spans="1:23" x14ac:dyDescent="0.35">
      <c r="A22" s="2">
        <v>42447</v>
      </c>
      <c r="B22" s="40" t="e">
        <v>#N/A</v>
      </c>
      <c r="C22" s="40">
        <v>-4.3047009999999997</v>
      </c>
      <c r="D22" s="40">
        <v>-11.063093</v>
      </c>
      <c r="E22" s="40">
        <v>-11.011809</v>
      </c>
      <c r="F22" s="40">
        <v>-13.927078</v>
      </c>
      <c r="G22" s="40">
        <v>-7.194191</v>
      </c>
      <c r="H22" s="40">
        <v>-11.727959</v>
      </c>
      <c r="I22" s="40">
        <v>-10.626507</v>
      </c>
      <c r="J22" s="40">
        <v>-8.6419110000000003</v>
      </c>
      <c r="K22" s="40">
        <v>-7.9072237000000003</v>
      </c>
      <c r="L22" s="40">
        <v>-11.906033499999999</v>
      </c>
      <c r="M22" s="40">
        <v>-20.708067</v>
      </c>
      <c r="N22" s="40">
        <v>-30.064551999999999</v>
      </c>
      <c r="O22" s="40">
        <v>-19.155163000000002</v>
      </c>
      <c r="P22" s="40">
        <v>-18.384350000000001</v>
      </c>
      <c r="Q22" s="40">
        <v>-10.677796000000001</v>
      </c>
      <c r="R22" s="40">
        <v>-9.6989929999999998</v>
      </c>
      <c r="S22" s="40">
        <v>-5.5896340000000002</v>
      </c>
      <c r="T22" s="40">
        <v>-1.7407714999999999</v>
      </c>
      <c r="U22" s="40">
        <v>-18.18375</v>
      </c>
      <c r="V22" s="155" t="e">
        <v>#N/A</v>
      </c>
      <c r="W22" s="24"/>
    </row>
    <row r="23" spans="1:23" x14ac:dyDescent="0.35">
      <c r="A23" s="2">
        <v>42479</v>
      </c>
      <c r="B23" s="40" t="e">
        <v>#N/A</v>
      </c>
      <c r="C23" s="40">
        <v>-8.5295970000000008</v>
      </c>
      <c r="D23" s="40">
        <v>-11.298603</v>
      </c>
      <c r="E23" s="40">
        <v>-12.527323000000001</v>
      </c>
      <c r="F23" s="40">
        <v>-18.583637</v>
      </c>
      <c r="G23" s="40">
        <v>4.2242050000000004</v>
      </c>
      <c r="H23" s="40">
        <v>-9.3702679999999994</v>
      </c>
      <c r="I23" s="40">
        <v>-10.4427395</v>
      </c>
      <c r="J23" s="40">
        <v>-7.6748430000000001</v>
      </c>
      <c r="K23" s="40">
        <v>-9.3713999999999995</v>
      </c>
      <c r="L23" s="40">
        <v>-14.000577</v>
      </c>
      <c r="M23" s="40">
        <v>-17.676089999999999</v>
      </c>
      <c r="N23" s="40">
        <v>-25.204086</v>
      </c>
      <c r="O23" s="40">
        <v>-12.295574</v>
      </c>
      <c r="P23" s="40">
        <v>-25.965278999999999</v>
      </c>
      <c r="Q23" s="40">
        <v>-12.118459</v>
      </c>
      <c r="R23" s="40">
        <v>-9.6275919999999999</v>
      </c>
      <c r="S23" s="40">
        <v>1.8446326</v>
      </c>
      <c r="T23" s="40">
        <v>-14.124637999999999</v>
      </c>
      <c r="U23" s="40">
        <v>-20.116143999999998</v>
      </c>
      <c r="V23" s="155" t="e">
        <v>#N/A</v>
      </c>
      <c r="W23" s="24"/>
    </row>
    <row r="24" spans="1:23" x14ac:dyDescent="0.35">
      <c r="A24" s="2">
        <v>42509</v>
      </c>
      <c r="B24" s="40" t="e">
        <v>#N/A</v>
      </c>
      <c r="C24" s="40">
        <v>-17.155902999999999</v>
      </c>
      <c r="D24" s="40">
        <v>-16.218513000000002</v>
      </c>
      <c r="E24" s="40">
        <v>-9.8738910000000004</v>
      </c>
      <c r="F24" s="40">
        <v>-31.354177</v>
      </c>
      <c r="G24" s="40">
        <v>-1.9013941000000001</v>
      </c>
      <c r="H24" s="40">
        <v>-18.143415000000001</v>
      </c>
      <c r="I24" s="40">
        <v>-22.83839</v>
      </c>
      <c r="J24" s="40">
        <v>-15.714062</v>
      </c>
      <c r="K24" s="40">
        <v>-16.032969999999999</v>
      </c>
      <c r="L24" s="40">
        <v>-23.244250000000001</v>
      </c>
      <c r="M24" s="40">
        <v>-29.331547</v>
      </c>
      <c r="N24" s="40">
        <v>-32.260289999999998</v>
      </c>
      <c r="O24" s="40">
        <v>-12.879455999999999</v>
      </c>
      <c r="P24" s="40">
        <v>-34.431744000000002</v>
      </c>
      <c r="Q24" s="40">
        <v>-20.042902000000002</v>
      </c>
      <c r="R24" s="40">
        <v>-9.1811070000000008</v>
      </c>
      <c r="S24" s="40">
        <v>-23.760854999999999</v>
      </c>
      <c r="T24" s="40">
        <v>-19.547754000000001</v>
      </c>
      <c r="U24" s="40">
        <v>-9.9648000000000003</v>
      </c>
      <c r="V24" s="155" t="e">
        <v>#N/A</v>
      </c>
      <c r="W24" s="24"/>
    </row>
    <row r="25" spans="1:23" x14ac:dyDescent="0.35">
      <c r="A25" s="2">
        <v>42538</v>
      </c>
      <c r="B25" s="40" t="e">
        <v>#N/A</v>
      </c>
      <c r="C25" s="40">
        <v>-6.8601369999999999</v>
      </c>
      <c r="D25" s="40">
        <v>-2.5050162999999999</v>
      </c>
      <c r="E25" s="40">
        <v>-0.24580956000000001</v>
      </c>
      <c r="F25" s="40">
        <v>-26.886797000000001</v>
      </c>
      <c r="G25" s="40">
        <v>1.8787860999999999</v>
      </c>
      <c r="H25" s="40">
        <v>-12.016577</v>
      </c>
      <c r="I25" s="40">
        <v>-10.340303</v>
      </c>
      <c r="J25" s="40">
        <v>-15.370119000000001</v>
      </c>
      <c r="K25" s="40">
        <v>-6.3346090000000004</v>
      </c>
      <c r="L25" s="40">
        <v>-16.662848</v>
      </c>
      <c r="M25" s="40">
        <v>-17.427534000000001</v>
      </c>
      <c r="N25" s="40">
        <v>-27.316410000000001</v>
      </c>
      <c r="O25" s="40">
        <v>-4.9608945999999996</v>
      </c>
      <c r="P25" s="40">
        <v>-27.378284000000001</v>
      </c>
      <c r="Q25" s="40">
        <v>-16.978000000000002</v>
      </c>
      <c r="R25" s="40">
        <v>-6.1704993000000004</v>
      </c>
      <c r="S25" s="40">
        <v>-11.526084000000001</v>
      </c>
      <c r="T25" s="40">
        <v>-17.018889999999999</v>
      </c>
      <c r="U25" s="40">
        <v>-17.258209999999998</v>
      </c>
      <c r="V25" s="155" t="e">
        <v>#N/A</v>
      </c>
      <c r="W25" s="24"/>
    </row>
    <row r="26" spans="1:23" x14ac:dyDescent="0.35">
      <c r="A26" s="2">
        <v>42570</v>
      </c>
      <c r="B26" s="40" t="e">
        <v>#N/A</v>
      </c>
      <c r="C26" s="40">
        <v>4.2545440000000001</v>
      </c>
      <c r="D26" s="40">
        <v>10.352683000000001</v>
      </c>
      <c r="E26" s="40">
        <v>3.9022684000000001</v>
      </c>
      <c r="F26" s="40">
        <v>-22.446358</v>
      </c>
      <c r="G26" s="40">
        <v>18.819701999999999</v>
      </c>
      <c r="H26" s="40">
        <v>-5.7820023999999997</v>
      </c>
      <c r="I26" s="40">
        <v>-1.3643205</v>
      </c>
      <c r="J26" s="40">
        <v>-8.8320550000000004</v>
      </c>
      <c r="K26" s="40">
        <v>4.3057920000000003</v>
      </c>
      <c r="L26" s="40">
        <v>5.7543993000000002</v>
      </c>
      <c r="M26" s="40">
        <v>-11.06826</v>
      </c>
      <c r="N26" s="40">
        <v>-28.742349999999998</v>
      </c>
      <c r="O26" s="40">
        <v>-7.1700334999999997</v>
      </c>
      <c r="P26" s="40">
        <v>-15.693295000000001</v>
      </c>
      <c r="Q26" s="40">
        <v>-10.358995</v>
      </c>
      <c r="R26" s="40">
        <v>0.35378933000000001</v>
      </c>
      <c r="S26" s="40">
        <v>-18.142574</v>
      </c>
      <c r="T26" s="40">
        <v>-12.268250999999999</v>
      </c>
      <c r="U26" s="40">
        <v>-16.980630000000001</v>
      </c>
      <c r="V26" s="155" t="e">
        <v>#N/A</v>
      </c>
      <c r="W26" s="24"/>
    </row>
    <row r="27" spans="1:23" x14ac:dyDescent="0.35">
      <c r="A27" s="2">
        <v>42601</v>
      </c>
      <c r="B27" s="40" t="e">
        <v>#N/A</v>
      </c>
      <c r="C27" s="40">
        <v>14.834679</v>
      </c>
      <c r="D27" s="40">
        <v>33.502409999999998</v>
      </c>
      <c r="E27" s="40">
        <v>10.742176000000001</v>
      </c>
      <c r="F27" s="40">
        <v>-14.728707</v>
      </c>
      <c r="G27" s="40">
        <v>55.193649999999998</v>
      </c>
      <c r="H27" s="40">
        <v>15.306150000000001</v>
      </c>
      <c r="I27" s="40">
        <v>19.9939</v>
      </c>
      <c r="J27" s="40">
        <v>2.0474909999999999</v>
      </c>
      <c r="K27" s="40">
        <v>22.483194000000001</v>
      </c>
      <c r="L27" s="40">
        <v>36.454329999999999</v>
      </c>
      <c r="M27" s="40">
        <v>7.2417736000000001</v>
      </c>
      <c r="N27" s="40">
        <v>-24.369335</v>
      </c>
      <c r="O27" s="40">
        <v>-1.1314154000000001</v>
      </c>
      <c r="P27" s="40">
        <v>2.1144031999999999</v>
      </c>
      <c r="Q27" s="40">
        <v>1.4190674000000001</v>
      </c>
      <c r="R27" s="40">
        <v>11.575497</v>
      </c>
      <c r="S27" s="40">
        <v>6.6800714000000001</v>
      </c>
      <c r="T27" s="40">
        <v>-2.2891879999999998</v>
      </c>
      <c r="U27" s="40">
        <v>-3.9446829999999999</v>
      </c>
      <c r="V27" s="155" t="e">
        <v>#N/A</v>
      </c>
      <c r="W27" s="24"/>
    </row>
    <row r="28" spans="1:23" x14ac:dyDescent="0.35">
      <c r="A28" s="2">
        <v>42632</v>
      </c>
      <c r="B28" s="40" t="e">
        <v>#N/A</v>
      </c>
      <c r="C28" s="40">
        <v>5.7071804999999998</v>
      </c>
      <c r="D28" s="40">
        <v>40.938904000000001</v>
      </c>
      <c r="E28" s="40">
        <v>5.651033</v>
      </c>
      <c r="F28" s="40">
        <v>-15.279733999999999</v>
      </c>
      <c r="G28" s="40">
        <v>45.231937000000002</v>
      </c>
      <c r="H28" s="40">
        <v>5.4880740000000001</v>
      </c>
      <c r="I28" s="40">
        <v>15.956318</v>
      </c>
      <c r="J28" s="40">
        <v>-9.9249949999999991</v>
      </c>
      <c r="K28" s="40">
        <v>14.1271</v>
      </c>
      <c r="L28" s="40">
        <v>46.919967999999997</v>
      </c>
      <c r="M28" s="40">
        <v>3.0393481000000002</v>
      </c>
      <c r="N28" s="40">
        <v>-32.917850000000001</v>
      </c>
      <c r="O28" s="40">
        <v>7.0866942000000002</v>
      </c>
      <c r="P28" s="40">
        <v>9.7134230000000006</v>
      </c>
      <c r="Q28" s="40">
        <v>-7.9616012999999999</v>
      </c>
      <c r="R28" s="40">
        <v>7.3659299999999996</v>
      </c>
      <c r="S28" s="40">
        <v>8.230162</v>
      </c>
      <c r="T28" s="40">
        <v>-1.4511585</v>
      </c>
      <c r="U28" s="40">
        <v>-3.9464115999999998</v>
      </c>
      <c r="V28" s="155">
        <v>-14.129580000000001</v>
      </c>
      <c r="W28" s="24"/>
    </row>
    <row r="29" spans="1:23" x14ac:dyDescent="0.35">
      <c r="A29" s="2">
        <v>42662</v>
      </c>
      <c r="B29" s="40" t="e">
        <v>#N/A</v>
      </c>
      <c r="C29" s="40">
        <v>13.464999000000001</v>
      </c>
      <c r="D29" s="40">
        <v>28.597664000000002</v>
      </c>
      <c r="E29" s="40">
        <v>5.3223370000000001</v>
      </c>
      <c r="F29" s="40">
        <v>-16.105042999999998</v>
      </c>
      <c r="G29" s="40">
        <v>43.535519999999998</v>
      </c>
      <c r="H29" s="40">
        <v>3.7077903999999999</v>
      </c>
      <c r="I29" s="40">
        <v>14.446771999999999</v>
      </c>
      <c r="J29" s="40">
        <v>-2.1742940000000002</v>
      </c>
      <c r="K29" s="40">
        <v>8.1355930000000001</v>
      </c>
      <c r="L29" s="40">
        <v>61.227764000000001</v>
      </c>
      <c r="M29" s="40">
        <v>-4.2808000000000002</v>
      </c>
      <c r="N29" s="40">
        <v>-26.850069000000001</v>
      </c>
      <c r="O29" s="40">
        <v>1.5229225</v>
      </c>
      <c r="P29" s="40">
        <v>1.967454</v>
      </c>
      <c r="Q29" s="40">
        <v>-8.0538989999999995</v>
      </c>
      <c r="R29" s="40">
        <v>4.8958659999999998</v>
      </c>
      <c r="S29" s="40">
        <v>-3.4727394999999999</v>
      </c>
      <c r="T29" s="40">
        <v>-7.0290803999999998</v>
      </c>
      <c r="U29" s="40">
        <v>-10.836458</v>
      </c>
      <c r="V29" s="155">
        <v>-21.937125999999999</v>
      </c>
      <c r="W29" s="24"/>
    </row>
    <row r="30" spans="1:23" x14ac:dyDescent="0.35">
      <c r="A30" s="2">
        <v>42692</v>
      </c>
      <c r="B30" s="40" t="e">
        <v>#N/A</v>
      </c>
      <c r="C30" s="40">
        <v>14.307129</v>
      </c>
      <c r="D30" s="40">
        <v>15.677631</v>
      </c>
      <c r="E30" s="40">
        <v>-1.5453458</v>
      </c>
      <c r="F30" s="40">
        <v>-14.254928</v>
      </c>
      <c r="G30" s="40">
        <v>47.148192999999999</v>
      </c>
      <c r="H30" s="40">
        <v>-0.9109199</v>
      </c>
      <c r="I30" s="40">
        <v>13.140833000000001</v>
      </c>
      <c r="J30" s="40">
        <v>-18.39621</v>
      </c>
      <c r="K30" s="40">
        <v>2.215004</v>
      </c>
      <c r="L30" s="40">
        <v>34.937393</v>
      </c>
      <c r="M30" s="40">
        <v>-4.3696700000000002</v>
      </c>
      <c r="N30" s="40">
        <v>-18.144321000000001</v>
      </c>
      <c r="O30" s="40">
        <v>-2.4951994000000002</v>
      </c>
      <c r="P30" s="40">
        <v>-1.9312917999999999</v>
      </c>
      <c r="Q30" s="40">
        <v>-4.1841689999999998</v>
      </c>
      <c r="R30" s="40">
        <v>7.0481299999999996</v>
      </c>
      <c r="S30" s="40">
        <v>-19.775217000000001</v>
      </c>
      <c r="T30" s="40">
        <v>5.9342740000000003</v>
      </c>
      <c r="U30" s="40">
        <v>-13.571631999999999</v>
      </c>
      <c r="V30" s="155">
        <v>-1.2884438</v>
      </c>
      <c r="W30" s="24"/>
    </row>
    <row r="31" spans="1:23" x14ac:dyDescent="0.35">
      <c r="A31" s="2">
        <v>42723</v>
      </c>
      <c r="B31" s="40" t="e">
        <v>#N/A</v>
      </c>
      <c r="C31" s="40">
        <v>18.732368000000001</v>
      </c>
      <c r="D31" s="40">
        <v>18.192947</v>
      </c>
      <c r="E31" s="40">
        <v>-5.3200539999999998</v>
      </c>
      <c r="F31" s="40">
        <v>0.70519449999999995</v>
      </c>
      <c r="G31" s="40">
        <v>60.42868</v>
      </c>
      <c r="H31" s="40">
        <v>-1.6347468000000001</v>
      </c>
      <c r="I31" s="40">
        <v>18.462503000000002</v>
      </c>
      <c r="J31" s="40">
        <v>-11.432838</v>
      </c>
      <c r="K31" s="40">
        <v>8.7243440000000003</v>
      </c>
      <c r="L31" s="40">
        <v>49.357140000000001</v>
      </c>
      <c r="M31" s="40">
        <v>11.258661</v>
      </c>
      <c r="N31" s="40">
        <v>-7.8930910000000001</v>
      </c>
      <c r="O31" s="40">
        <v>-0.62146780000000001</v>
      </c>
      <c r="P31" s="40">
        <v>-1.1521935000000001</v>
      </c>
      <c r="Q31" s="40">
        <v>11.122168</v>
      </c>
      <c r="R31" s="40">
        <v>18.482077</v>
      </c>
      <c r="S31" s="40">
        <v>-11.427098000000001</v>
      </c>
      <c r="T31" s="40">
        <v>19.224740000000001</v>
      </c>
      <c r="U31" s="40">
        <v>-6.8974549999999999</v>
      </c>
      <c r="V31" s="155">
        <v>5.6179642999999997</v>
      </c>
      <c r="W31" s="24"/>
    </row>
    <row r="32" spans="1:23" x14ac:dyDescent="0.35">
      <c r="A32" s="2">
        <v>42754</v>
      </c>
      <c r="B32" s="40" t="e">
        <v>#N/A</v>
      </c>
      <c r="C32" s="40">
        <v>32.760283999999999</v>
      </c>
      <c r="D32" s="40">
        <v>20.682848</v>
      </c>
      <c r="E32" s="40">
        <v>13.133919000000001</v>
      </c>
      <c r="F32" s="40">
        <v>22.32349</v>
      </c>
      <c r="G32" s="40">
        <v>89.824200000000005</v>
      </c>
      <c r="H32" s="40">
        <v>5.1151276000000001</v>
      </c>
      <c r="I32" s="40">
        <v>32.646360000000001</v>
      </c>
      <c r="J32" s="40">
        <v>-5.5644093000000003</v>
      </c>
      <c r="K32" s="40">
        <v>21.477651999999999</v>
      </c>
      <c r="L32" s="40">
        <v>102.19020999999999</v>
      </c>
      <c r="M32" s="40">
        <v>43.304442999999999</v>
      </c>
      <c r="N32" s="40">
        <v>15.402615000000001</v>
      </c>
      <c r="O32" s="40">
        <v>10.51445</v>
      </c>
      <c r="P32" s="40">
        <v>21.515702999999998</v>
      </c>
      <c r="Q32" s="40">
        <v>27.923286000000001</v>
      </c>
      <c r="R32" s="40">
        <v>22.817347999999999</v>
      </c>
      <c r="S32" s="40">
        <v>-5.6410729999999996</v>
      </c>
      <c r="T32" s="40">
        <v>33.575949999999999</v>
      </c>
      <c r="U32" s="40">
        <v>3.8786649999999998</v>
      </c>
      <c r="V32" s="155">
        <v>23.925339999999998</v>
      </c>
      <c r="W32" s="24"/>
    </row>
    <row r="33" spans="1:23" x14ac:dyDescent="0.35">
      <c r="A33" s="2">
        <v>42783</v>
      </c>
      <c r="B33" s="40" t="e">
        <v>#N/A</v>
      </c>
      <c r="C33" s="40">
        <v>23.783647999999999</v>
      </c>
      <c r="D33" s="40">
        <v>7.5850606000000003</v>
      </c>
      <c r="E33" s="40">
        <v>1.9787787999999999</v>
      </c>
      <c r="F33" s="40">
        <v>19.470155999999999</v>
      </c>
      <c r="G33" s="40">
        <v>67.864649999999997</v>
      </c>
      <c r="H33" s="40">
        <v>-2.3272634000000001</v>
      </c>
      <c r="I33" s="40">
        <v>30.648696999999999</v>
      </c>
      <c r="J33" s="40">
        <v>-2.7107418000000001</v>
      </c>
      <c r="K33" s="40">
        <v>23.831344999999999</v>
      </c>
      <c r="L33" s="40">
        <v>98.080399999999997</v>
      </c>
      <c r="M33" s="40">
        <v>24.725902999999999</v>
      </c>
      <c r="N33" s="40">
        <v>22.431516999999999</v>
      </c>
      <c r="O33" s="40">
        <v>20.404613000000001</v>
      </c>
      <c r="P33" s="40">
        <v>28.934501999999998</v>
      </c>
      <c r="Q33" s="40">
        <v>12.996459</v>
      </c>
      <c r="R33" s="40">
        <v>22.458421999999999</v>
      </c>
      <c r="S33" s="40">
        <v>1.1419535000000001</v>
      </c>
      <c r="T33" s="40">
        <v>19.898091999999998</v>
      </c>
      <c r="U33" s="40">
        <v>2.8331040999999999</v>
      </c>
      <c r="V33" s="155">
        <v>24.610137999999999</v>
      </c>
      <c r="W33" s="24"/>
    </row>
    <row r="34" spans="1:23" x14ac:dyDescent="0.35">
      <c r="A34" s="2">
        <v>42811</v>
      </c>
      <c r="B34" s="40" t="e">
        <v>#N/A</v>
      </c>
      <c r="C34" s="40">
        <v>17.934847000000001</v>
      </c>
      <c r="D34" s="40">
        <v>6.7329287999999998</v>
      </c>
      <c r="E34" s="40">
        <v>-4.2749940000000004</v>
      </c>
      <c r="F34" s="40">
        <v>16.894627</v>
      </c>
      <c r="G34" s="40">
        <v>31.531275000000001</v>
      </c>
      <c r="H34" s="40">
        <v>-4.5771480000000002</v>
      </c>
      <c r="I34" s="40">
        <v>22.149478999999999</v>
      </c>
      <c r="J34" s="40">
        <v>-3.7520945000000001</v>
      </c>
      <c r="K34" s="40">
        <v>18.697762000000001</v>
      </c>
      <c r="L34" s="40">
        <v>43.597244000000003</v>
      </c>
      <c r="M34" s="40">
        <v>20.081959999999999</v>
      </c>
      <c r="N34" s="40">
        <v>7.2902082999999998</v>
      </c>
      <c r="O34" s="40">
        <v>19.475735</v>
      </c>
      <c r="P34" s="40">
        <v>22.504996999999999</v>
      </c>
      <c r="Q34" s="40">
        <v>0.25583506</v>
      </c>
      <c r="R34" s="40">
        <v>13.098108</v>
      </c>
      <c r="S34" s="40">
        <v>-12.337875</v>
      </c>
      <c r="T34" s="40">
        <v>4.0703535000000004</v>
      </c>
      <c r="U34" s="40">
        <v>-1.497066</v>
      </c>
      <c r="V34" s="155">
        <v>11.421943000000001</v>
      </c>
      <c r="W34" s="24"/>
    </row>
    <row r="35" spans="1:23" x14ac:dyDescent="0.35">
      <c r="A35" s="2">
        <v>42844</v>
      </c>
      <c r="B35" s="40" t="e">
        <v>#N/A</v>
      </c>
      <c r="C35" s="40">
        <v>19.522905000000002</v>
      </c>
      <c r="D35" s="40">
        <v>7.5743913999999997</v>
      </c>
      <c r="E35" s="40">
        <v>-2.0710706999999999</v>
      </c>
      <c r="F35" s="40">
        <v>14.82991</v>
      </c>
      <c r="G35" s="40">
        <v>12.15601</v>
      </c>
      <c r="H35" s="40">
        <v>-9.772354</v>
      </c>
      <c r="I35" s="40">
        <v>21.501588999999999</v>
      </c>
      <c r="J35" s="40">
        <v>-3.8627744000000002</v>
      </c>
      <c r="K35" s="40">
        <v>11.15836</v>
      </c>
      <c r="L35" s="40">
        <v>29.018139000000001</v>
      </c>
      <c r="M35" s="40">
        <v>5.7301760000000002</v>
      </c>
      <c r="N35" s="40">
        <v>5.4582952999999996</v>
      </c>
      <c r="O35" s="40">
        <v>12.521768</v>
      </c>
      <c r="P35" s="40">
        <v>14.028347</v>
      </c>
      <c r="Q35" s="40">
        <v>4.9693107999999997</v>
      </c>
      <c r="R35" s="40">
        <v>10.677254</v>
      </c>
      <c r="S35" s="40">
        <v>-18.660105000000001</v>
      </c>
      <c r="T35" s="40">
        <v>1.8007278</v>
      </c>
      <c r="U35" s="40">
        <v>1.5131235000000001</v>
      </c>
      <c r="V35" s="155">
        <v>10.092758999999999</v>
      </c>
      <c r="W35" s="24"/>
    </row>
    <row r="36" spans="1:23" x14ac:dyDescent="0.35">
      <c r="A36" s="2">
        <v>42874</v>
      </c>
      <c r="B36" s="40" t="e">
        <v>#N/A</v>
      </c>
      <c r="C36" s="40">
        <v>24.744105999999999</v>
      </c>
      <c r="D36" s="40">
        <v>28.614975000000001</v>
      </c>
      <c r="E36" s="40">
        <v>1.6963481999999998E-2</v>
      </c>
      <c r="F36" s="40">
        <v>42.608418</v>
      </c>
      <c r="G36" s="40">
        <v>18.996822000000002</v>
      </c>
      <c r="H36" s="40">
        <v>6.1754346</v>
      </c>
      <c r="I36" s="40">
        <v>42.037308000000003</v>
      </c>
      <c r="J36" s="40">
        <v>6.8051934000000003</v>
      </c>
      <c r="K36" s="40">
        <v>38.30894</v>
      </c>
      <c r="L36" s="40">
        <v>34.689022000000001</v>
      </c>
      <c r="M36" s="40">
        <v>30.854427000000001</v>
      </c>
      <c r="N36" s="40">
        <v>17.080570000000002</v>
      </c>
      <c r="O36" s="40">
        <v>23.664187999999999</v>
      </c>
      <c r="P36" s="40">
        <v>37.014805000000003</v>
      </c>
      <c r="Q36" s="40">
        <v>5.8105826</v>
      </c>
      <c r="R36" s="40">
        <v>11.817932000000001</v>
      </c>
      <c r="S36" s="40">
        <v>7.8531383999999997</v>
      </c>
      <c r="T36" s="40">
        <v>12.300312</v>
      </c>
      <c r="U36" s="40">
        <v>-0.30414461999999998</v>
      </c>
      <c r="V36" s="155">
        <v>6.5976024000000004</v>
      </c>
      <c r="W36" s="24"/>
    </row>
    <row r="37" spans="1:23" x14ac:dyDescent="0.35">
      <c r="A37" s="2">
        <v>42905</v>
      </c>
      <c r="B37" s="40">
        <v>11.846876</v>
      </c>
      <c r="C37" s="40">
        <v>22.571064</v>
      </c>
      <c r="D37" s="40">
        <v>18.956709</v>
      </c>
      <c r="E37" s="40">
        <v>-3.9294720000000001</v>
      </c>
      <c r="F37" s="40">
        <v>44.065930000000002</v>
      </c>
      <c r="G37" s="40">
        <v>14.181721</v>
      </c>
      <c r="H37" s="40">
        <v>8.8369479999999996</v>
      </c>
      <c r="I37" s="40">
        <v>31.76099</v>
      </c>
      <c r="J37" s="40">
        <v>13.110352000000001</v>
      </c>
      <c r="K37" s="40">
        <v>35.460113999999997</v>
      </c>
      <c r="L37" s="40">
        <v>27.560257</v>
      </c>
      <c r="M37" s="40">
        <v>17.554400999999999</v>
      </c>
      <c r="N37" s="40">
        <v>34.303139999999999</v>
      </c>
      <c r="O37" s="40">
        <v>19.570004999999998</v>
      </c>
      <c r="P37" s="40">
        <v>37.021183000000001</v>
      </c>
      <c r="Q37" s="40">
        <v>-2.4274944999999999</v>
      </c>
      <c r="R37" s="40">
        <v>11.244488</v>
      </c>
      <c r="S37" s="40">
        <v>10.227001</v>
      </c>
      <c r="T37" s="40">
        <v>10.481512</v>
      </c>
      <c r="U37" s="40">
        <v>6.0184835999999997</v>
      </c>
      <c r="V37" s="155">
        <v>9.8760490000000001</v>
      </c>
      <c r="W37" s="24"/>
    </row>
    <row r="38" spans="1:23" x14ac:dyDescent="0.35">
      <c r="A38" s="2">
        <v>42935</v>
      </c>
      <c r="B38" s="40">
        <v>11.951136999999999</v>
      </c>
      <c r="C38" s="40">
        <v>19.072533</v>
      </c>
      <c r="D38" s="40">
        <v>8.0782889999999998</v>
      </c>
      <c r="E38" s="40">
        <v>-8.9319050000000004</v>
      </c>
      <c r="F38" s="40">
        <v>50.488723999999998</v>
      </c>
      <c r="G38" s="40">
        <v>8.6773509999999998</v>
      </c>
      <c r="H38" s="40">
        <v>0.89852810000000005</v>
      </c>
      <c r="I38" s="40">
        <v>27.240895999999999</v>
      </c>
      <c r="J38" s="40">
        <v>14.014958999999999</v>
      </c>
      <c r="K38" s="40">
        <v>32.651363000000003</v>
      </c>
      <c r="L38" s="40">
        <v>15.8804655</v>
      </c>
      <c r="M38" s="40">
        <v>11.848295</v>
      </c>
      <c r="N38" s="40">
        <v>51.274585999999999</v>
      </c>
      <c r="O38" s="40">
        <v>18.761825999999999</v>
      </c>
      <c r="P38" s="40">
        <v>35.971867000000003</v>
      </c>
      <c r="Q38" s="40">
        <v>-4.5230329999999999</v>
      </c>
      <c r="R38" s="40">
        <v>5.6199669999999999</v>
      </c>
      <c r="S38" s="40">
        <v>23.497986000000001</v>
      </c>
      <c r="T38" s="40">
        <v>8.1765059999999998</v>
      </c>
      <c r="U38" s="40">
        <v>-2.0818055000000002</v>
      </c>
      <c r="V38" s="155">
        <v>15.151166999999999</v>
      </c>
      <c r="W38" s="24"/>
    </row>
    <row r="39" spans="1:23" x14ac:dyDescent="0.35">
      <c r="A39" s="2">
        <v>42965</v>
      </c>
      <c r="B39" s="40">
        <v>10.025416999999999</v>
      </c>
      <c r="C39" s="40">
        <v>22.691381</v>
      </c>
      <c r="D39" s="40">
        <v>2.5845885000000002</v>
      </c>
      <c r="E39" s="40">
        <v>-10.525471</v>
      </c>
      <c r="F39" s="40">
        <v>38.021614</v>
      </c>
      <c r="G39" s="40">
        <v>4.0303230000000001</v>
      </c>
      <c r="H39" s="40">
        <v>-1.0868788</v>
      </c>
      <c r="I39" s="40">
        <v>20.207750000000001</v>
      </c>
      <c r="J39" s="40">
        <v>8.2483050000000002</v>
      </c>
      <c r="K39" s="40">
        <v>18.41452</v>
      </c>
      <c r="L39" s="40">
        <v>16.131460000000001</v>
      </c>
      <c r="M39" s="40">
        <v>2.8696655999999998</v>
      </c>
      <c r="N39" s="40">
        <v>42.019640000000003</v>
      </c>
      <c r="O39" s="40">
        <v>14.686847</v>
      </c>
      <c r="P39" s="40">
        <v>27.395856999999999</v>
      </c>
      <c r="Q39" s="40">
        <v>-16.151398</v>
      </c>
      <c r="R39" s="40">
        <v>1.2617946</v>
      </c>
      <c r="S39" s="40">
        <v>14.423465999999999</v>
      </c>
      <c r="T39" s="40">
        <v>4.8282385000000003</v>
      </c>
      <c r="U39" s="40">
        <v>-5.2182016000000004</v>
      </c>
      <c r="V39" s="155">
        <v>18.325710000000001</v>
      </c>
      <c r="W39" s="24"/>
    </row>
    <row r="40" spans="1:23" x14ac:dyDescent="0.35">
      <c r="A40" s="2">
        <v>42997</v>
      </c>
      <c r="B40" s="40">
        <v>18.866479999999999</v>
      </c>
      <c r="C40" s="40">
        <v>37.732303999999999</v>
      </c>
      <c r="D40" s="40">
        <v>6.5678716000000001</v>
      </c>
      <c r="E40" s="40">
        <v>0.85103510000000004</v>
      </c>
      <c r="F40" s="40">
        <v>54.401527000000002</v>
      </c>
      <c r="G40" s="40">
        <v>19.386434999999999</v>
      </c>
      <c r="H40" s="40">
        <v>8.1783660000000005</v>
      </c>
      <c r="I40" s="40">
        <v>23.044765000000002</v>
      </c>
      <c r="J40" s="40">
        <v>20.979272999999999</v>
      </c>
      <c r="K40" s="40">
        <v>27.252234000000001</v>
      </c>
      <c r="L40" s="40">
        <v>34.141685000000003</v>
      </c>
      <c r="M40" s="40">
        <v>10.981249999999999</v>
      </c>
      <c r="N40" s="40">
        <v>39.227283</v>
      </c>
      <c r="O40" s="40">
        <v>18.000769999999999</v>
      </c>
      <c r="P40" s="40">
        <v>35.707484999999998</v>
      </c>
      <c r="Q40" s="40">
        <v>-12.982046</v>
      </c>
      <c r="R40" s="40">
        <v>12.049067000000001</v>
      </c>
      <c r="S40" s="40">
        <v>16.207754000000001</v>
      </c>
      <c r="T40" s="40">
        <v>8.889818</v>
      </c>
      <c r="U40" s="40">
        <v>6.3551187999999996</v>
      </c>
      <c r="V40" s="155">
        <v>27.541996000000001</v>
      </c>
      <c r="W40" s="24"/>
    </row>
    <row r="41" spans="1:23" x14ac:dyDescent="0.35">
      <c r="A41" s="2">
        <v>43027</v>
      </c>
      <c r="B41" s="40">
        <v>19.501484000000001</v>
      </c>
      <c r="C41" s="40">
        <v>33.703086999999996</v>
      </c>
      <c r="D41" s="40">
        <v>1.3739705</v>
      </c>
      <c r="E41" s="40">
        <v>0.55186749999999996</v>
      </c>
      <c r="F41" s="40">
        <v>53.726599999999998</v>
      </c>
      <c r="G41" s="40">
        <v>27.487552999999998</v>
      </c>
      <c r="H41" s="40">
        <v>5.1487207000000001</v>
      </c>
      <c r="I41" s="40">
        <v>22.205997</v>
      </c>
      <c r="J41" s="40">
        <v>1.9540310000000001</v>
      </c>
      <c r="K41" s="40">
        <v>27.807462999999998</v>
      </c>
      <c r="L41" s="40">
        <v>16.446960000000001</v>
      </c>
      <c r="M41" s="40">
        <v>14.724504</v>
      </c>
      <c r="N41" s="40">
        <v>27.945160000000001</v>
      </c>
      <c r="O41" s="40">
        <v>16.467189999999999</v>
      </c>
      <c r="P41" s="40">
        <v>36.114905999999998</v>
      </c>
      <c r="Q41" s="40">
        <v>-19.472408000000001</v>
      </c>
      <c r="R41" s="40">
        <v>13.2646675</v>
      </c>
      <c r="S41" s="40">
        <v>14.830875000000001</v>
      </c>
      <c r="T41" s="40">
        <v>13.418126000000001</v>
      </c>
      <c r="U41" s="40">
        <v>6.4490319999999999</v>
      </c>
      <c r="V41" s="155">
        <v>26.950146</v>
      </c>
      <c r="W41" s="24"/>
    </row>
    <row r="42" spans="1:23" x14ac:dyDescent="0.35">
      <c r="A42" s="2">
        <v>43056</v>
      </c>
      <c r="B42" s="40">
        <v>22.043096999999999</v>
      </c>
      <c r="C42" s="40">
        <v>36.412979999999997</v>
      </c>
      <c r="D42" s="40">
        <v>14.546239999999999</v>
      </c>
      <c r="E42" s="40">
        <v>11.713611999999999</v>
      </c>
      <c r="F42" s="40">
        <v>63.095115999999997</v>
      </c>
      <c r="G42" s="40">
        <v>29.739930000000001</v>
      </c>
      <c r="H42" s="40">
        <v>14.442897</v>
      </c>
      <c r="I42" s="40">
        <v>28.714953999999999</v>
      </c>
      <c r="J42" s="40">
        <v>15.465069</v>
      </c>
      <c r="K42" s="40">
        <v>47.245800000000003</v>
      </c>
      <c r="L42" s="40">
        <v>25.612269999999999</v>
      </c>
      <c r="M42" s="40">
        <v>26.452303000000001</v>
      </c>
      <c r="N42" s="40">
        <v>18.381357000000001</v>
      </c>
      <c r="O42" s="40">
        <v>33.088090000000001</v>
      </c>
      <c r="P42" s="40">
        <v>50.907960000000003</v>
      </c>
      <c r="Q42" s="40">
        <v>-22.451734999999999</v>
      </c>
      <c r="R42" s="40">
        <v>15.980601</v>
      </c>
      <c r="S42" s="40">
        <v>24.003457999999998</v>
      </c>
      <c r="T42" s="40">
        <v>11.400986</v>
      </c>
      <c r="U42" s="40">
        <v>23.917591000000002</v>
      </c>
      <c r="V42" s="155">
        <v>9.3214749999999995</v>
      </c>
      <c r="W42" s="24"/>
    </row>
    <row r="43" spans="1:23" x14ac:dyDescent="0.35">
      <c r="A43" s="2">
        <v>43088</v>
      </c>
      <c r="B43" s="40">
        <v>23.779869999999999</v>
      </c>
      <c r="C43" s="40">
        <v>41.380263999999997</v>
      </c>
      <c r="D43" s="40">
        <v>17.344688000000001</v>
      </c>
      <c r="E43" s="40">
        <v>21.026194</v>
      </c>
      <c r="F43" s="40">
        <v>53.46613</v>
      </c>
      <c r="G43" s="40">
        <v>25.386547</v>
      </c>
      <c r="H43" s="40">
        <v>20.15971</v>
      </c>
      <c r="I43" s="40">
        <v>22.431576</v>
      </c>
      <c r="J43" s="40">
        <v>14.734912</v>
      </c>
      <c r="K43" s="40">
        <v>39.944470000000003</v>
      </c>
      <c r="L43" s="40">
        <v>28.459347000000001</v>
      </c>
      <c r="M43" s="40">
        <v>34.323906000000001</v>
      </c>
      <c r="N43" s="40">
        <v>35.829639999999998</v>
      </c>
      <c r="O43" s="40">
        <v>34.815716000000002</v>
      </c>
      <c r="P43" s="40">
        <v>52.292847000000002</v>
      </c>
      <c r="Q43" s="40">
        <v>-13.740605</v>
      </c>
      <c r="R43" s="40">
        <v>13.788104000000001</v>
      </c>
      <c r="S43" s="40">
        <v>32.161903000000002</v>
      </c>
      <c r="T43" s="40">
        <v>-0.10541081400000001</v>
      </c>
      <c r="U43" s="40">
        <v>31.380248999999999</v>
      </c>
      <c r="V43" s="155">
        <v>3.9717555</v>
      </c>
      <c r="W43" s="24"/>
    </row>
    <row r="44" spans="1:23" x14ac:dyDescent="0.35">
      <c r="A44" s="2">
        <v>43119</v>
      </c>
      <c r="B44" s="40">
        <v>39.483524000000003</v>
      </c>
      <c r="C44" s="40">
        <v>46.096671999999998</v>
      </c>
      <c r="D44" s="40">
        <v>24.523140000000001</v>
      </c>
      <c r="E44" s="40">
        <v>17.617214000000001</v>
      </c>
      <c r="F44" s="40">
        <v>56.55789</v>
      </c>
      <c r="G44" s="40">
        <v>33.244587000000003</v>
      </c>
      <c r="H44" s="40">
        <v>28.663181000000002</v>
      </c>
      <c r="I44" s="40">
        <v>31.798839999999998</v>
      </c>
      <c r="J44" s="40">
        <v>28.425872999999999</v>
      </c>
      <c r="K44" s="40">
        <v>42.451084000000002</v>
      </c>
      <c r="L44" s="40">
        <v>25.446774000000001</v>
      </c>
      <c r="M44" s="40">
        <v>34.137473999999997</v>
      </c>
      <c r="N44" s="40">
        <v>43.020940000000003</v>
      </c>
      <c r="O44" s="40">
        <v>37.316276999999999</v>
      </c>
      <c r="P44" s="40">
        <v>61.541249999999998</v>
      </c>
      <c r="Q44" s="40">
        <v>-9.8821580000000004</v>
      </c>
      <c r="R44" s="40">
        <v>17.137014000000001</v>
      </c>
      <c r="S44" s="40">
        <v>42.318545999999998</v>
      </c>
      <c r="T44" s="40">
        <v>7.8935027</v>
      </c>
      <c r="U44" s="40">
        <v>44.875312999999998</v>
      </c>
      <c r="V44" s="155">
        <v>15.092134</v>
      </c>
      <c r="W44" s="24"/>
    </row>
    <row r="45" spans="1:23" x14ac:dyDescent="0.35">
      <c r="A45" s="2">
        <v>43147</v>
      </c>
      <c r="B45" s="40">
        <v>28.22832</v>
      </c>
      <c r="C45" s="40">
        <v>34.755313999999998</v>
      </c>
      <c r="D45" s="40">
        <v>23.031663999999999</v>
      </c>
      <c r="E45" s="40">
        <v>10.028373999999999</v>
      </c>
      <c r="F45" s="40">
        <v>31.762087000000001</v>
      </c>
      <c r="G45" s="40">
        <v>21.048843000000002</v>
      </c>
      <c r="H45" s="40">
        <v>27.360308</v>
      </c>
      <c r="I45" s="40">
        <v>18.648434000000002</v>
      </c>
      <c r="J45" s="40">
        <v>15.764213</v>
      </c>
      <c r="K45" s="40">
        <v>34.140278000000002</v>
      </c>
      <c r="L45" s="40">
        <v>17.863035</v>
      </c>
      <c r="M45" s="40">
        <v>33.206200000000003</v>
      </c>
      <c r="N45" s="40">
        <v>46.143783999999997</v>
      </c>
      <c r="O45" s="40">
        <v>22.163307</v>
      </c>
      <c r="P45" s="40">
        <v>47.075797999999999</v>
      </c>
      <c r="Q45" s="40">
        <v>-13.563800000000001</v>
      </c>
      <c r="R45" s="40">
        <v>14.692879</v>
      </c>
      <c r="S45" s="40">
        <v>31.068539000000001</v>
      </c>
      <c r="T45" s="40">
        <v>1.7984747999999999</v>
      </c>
      <c r="U45" s="40">
        <v>37.392879999999998</v>
      </c>
      <c r="V45" s="155">
        <v>11.734294999999999</v>
      </c>
      <c r="W45" s="24"/>
    </row>
    <row r="46" spans="1:23" x14ac:dyDescent="0.35">
      <c r="A46" s="2">
        <v>43178</v>
      </c>
      <c r="B46" s="40">
        <v>26.343536</v>
      </c>
      <c r="C46" s="40">
        <v>26.225899999999999</v>
      </c>
      <c r="D46" s="40">
        <v>7.6235293999999998</v>
      </c>
      <c r="E46" s="40">
        <v>1.7485379999999999</v>
      </c>
      <c r="F46" s="40">
        <v>14.871634</v>
      </c>
      <c r="G46" s="40">
        <v>27.321169999999999</v>
      </c>
      <c r="H46" s="40">
        <v>21.173953999999998</v>
      </c>
      <c r="I46" s="40">
        <v>18.154979999999998</v>
      </c>
      <c r="J46" s="40">
        <v>1.6335964000000001</v>
      </c>
      <c r="K46" s="40">
        <v>25.772535000000001</v>
      </c>
      <c r="L46" s="40">
        <v>21.001170999999999</v>
      </c>
      <c r="M46" s="40">
        <v>20.102989999999998</v>
      </c>
      <c r="N46" s="40">
        <v>29.523350000000001</v>
      </c>
      <c r="O46" s="40">
        <v>8.4564800000000009</v>
      </c>
      <c r="P46" s="40">
        <v>44.643320000000003</v>
      </c>
      <c r="Q46" s="40">
        <v>-9.6671820000000004</v>
      </c>
      <c r="R46" s="40">
        <v>15.298724</v>
      </c>
      <c r="S46" s="40">
        <v>17.795313</v>
      </c>
      <c r="T46" s="40">
        <v>0.54485799999999995</v>
      </c>
      <c r="U46" s="40">
        <v>41.522872999999997</v>
      </c>
      <c r="V46" s="155">
        <v>17.611874</v>
      </c>
      <c r="W46" s="24"/>
    </row>
    <row r="47" spans="1:23" x14ac:dyDescent="0.35">
      <c r="A47" s="2">
        <v>43209</v>
      </c>
      <c r="B47" s="40">
        <v>19.626629000000001</v>
      </c>
      <c r="C47" s="40">
        <v>26.776050000000001</v>
      </c>
      <c r="D47" s="40">
        <v>8.0190660000000005</v>
      </c>
      <c r="E47" s="40">
        <v>-6.0922565000000004</v>
      </c>
      <c r="F47" s="40">
        <v>21.410309999999999</v>
      </c>
      <c r="G47" s="40">
        <v>38.453316000000001</v>
      </c>
      <c r="H47" s="40">
        <v>25.647497000000001</v>
      </c>
      <c r="I47" s="40">
        <v>18.326675000000002</v>
      </c>
      <c r="J47" s="40">
        <v>5.3525210000000003</v>
      </c>
      <c r="K47" s="40">
        <v>30.864847000000001</v>
      </c>
      <c r="L47" s="40">
        <v>21.879349999999999</v>
      </c>
      <c r="M47" s="40">
        <v>23.881256</v>
      </c>
      <c r="N47" s="40">
        <v>38.105452999999997</v>
      </c>
      <c r="O47" s="40">
        <v>12.082553000000001</v>
      </c>
      <c r="P47" s="40">
        <v>38.855457000000001</v>
      </c>
      <c r="Q47" s="40">
        <v>-10.516411</v>
      </c>
      <c r="R47" s="40">
        <v>14.532375</v>
      </c>
      <c r="S47" s="40">
        <v>13.262463</v>
      </c>
      <c r="T47" s="40">
        <v>0.45101643000000002</v>
      </c>
      <c r="U47" s="40">
        <v>34.509160000000001</v>
      </c>
      <c r="V47" s="155">
        <v>27.622340999999999</v>
      </c>
      <c r="W47" s="24"/>
    </row>
    <row r="48" spans="1:23" x14ac:dyDescent="0.35">
      <c r="A48" s="2">
        <v>43238</v>
      </c>
      <c r="B48" s="40">
        <v>23.144722000000002</v>
      </c>
      <c r="C48" s="40">
        <v>24.288702000000001</v>
      </c>
      <c r="D48" s="40">
        <v>-7.7500105000000001</v>
      </c>
      <c r="E48" s="40">
        <v>-7.8206959999999999</v>
      </c>
      <c r="F48" s="40">
        <v>1.9570708000000001</v>
      </c>
      <c r="G48" s="40">
        <v>28.902996000000002</v>
      </c>
      <c r="H48" s="40">
        <v>14.4697075</v>
      </c>
      <c r="I48" s="40">
        <v>10.704147000000001</v>
      </c>
      <c r="J48" s="40">
        <v>-8.2862015000000007</v>
      </c>
      <c r="K48" s="40">
        <v>14.816594</v>
      </c>
      <c r="L48" s="40">
        <v>19.192183</v>
      </c>
      <c r="M48" s="40">
        <v>9.7255339999999997</v>
      </c>
      <c r="N48" s="40">
        <v>0.42792560000000002</v>
      </c>
      <c r="O48" s="40">
        <v>4.0181994000000003</v>
      </c>
      <c r="P48" s="40">
        <v>33.966614</v>
      </c>
      <c r="Q48" s="40">
        <v>-8.3434159999999995</v>
      </c>
      <c r="R48" s="40">
        <v>13.473881</v>
      </c>
      <c r="S48" s="40">
        <v>-12.008029000000001</v>
      </c>
      <c r="T48" s="40">
        <v>-4.2614340000000004</v>
      </c>
      <c r="U48" s="40">
        <v>27.820813999999999</v>
      </c>
      <c r="V48" s="155">
        <v>23.277069999999998</v>
      </c>
      <c r="W48" s="24"/>
    </row>
    <row r="49" spans="1:23" x14ac:dyDescent="0.35">
      <c r="A49" s="2">
        <v>43270</v>
      </c>
      <c r="B49" s="40">
        <v>8.7615970000000001</v>
      </c>
      <c r="C49" s="40">
        <v>13.814211</v>
      </c>
      <c r="D49" s="40">
        <v>-9.3278700000000008</v>
      </c>
      <c r="E49" s="40">
        <v>-16.067330999999999</v>
      </c>
      <c r="F49" s="40">
        <v>-7.0234180000000004</v>
      </c>
      <c r="G49" s="40">
        <v>24.979900000000001</v>
      </c>
      <c r="H49" s="40">
        <v>4.662204</v>
      </c>
      <c r="I49" s="40">
        <v>5.7924986000000001</v>
      </c>
      <c r="J49" s="40">
        <v>-15.227919999999999</v>
      </c>
      <c r="K49" s="40">
        <v>3.2916783999999999</v>
      </c>
      <c r="L49" s="40">
        <v>-1.2258172000000001</v>
      </c>
      <c r="M49" s="40">
        <v>-0.72624683000000001</v>
      </c>
      <c r="N49" s="40">
        <v>-5.3394374999999998</v>
      </c>
      <c r="O49" s="40">
        <v>3.1223654999999999</v>
      </c>
      <c r="P49" s="40">
        <v>26.183247000000001</v>
      </c>
      <c r="Q49" s="40">
        <v>0.98973509999999998</v>
      </c>
      <c r="R49" s="40">
        <v>3.6935449</v>
      </c>
      <c r="S49" s="40">
        <v>-27.664667000000001</v>
      </c>
      <c r="T49" s="40">
        <v>-3.4695803999999999</v>
      </c>
      <c r="U49" s="40">
        <v>8.9069129999999994</v>
      </c>
      <c r="V49" s="155">
        <v>23.414885999999999</v>
      </c>
      <c r="W49" s="24"/>
    </row>
    <row r="50" spans="1:23" x14ac:dyDescent="0.35">
      <c r="A50" s="2">
        <v>43300</v>
      </c>
      <c r="B50" s="40">
        <v>-7.7056646000000004</v>
      </c>
      <c r="C50" s="40">
        <v>3.6079406999999999</v>
      </c>
      <c r="D50" s="40">
        <v>-12.84737</v>
      </c>
      <c r="E50" s="40">
        <v>-14.641434</v>
      </c>
      <c r="F50" s="40">
        <v>-10.876751000000001</v>
      </c>
      <c r="G50" s="40">
        <v>14.694107000000001</v>
      </c>
      <c r="H50" s="40">
        <v>7.8965069999999997</v>
      </c>
      <c r="I50" s="40">
        <v>2.2457837999999999</v>
      </c>
      <c r="J50" s="40">
        <v>-10.290157000000001</v>
      </c>
      <c r="K50" s="40">
        <v>-4.9504875999999998</v>
      </c>
      <c r="L50" s="40">
        <v>-4.5670032999999997</v>
      </c>
      <c r="M50" s="40">
        <v>-2.5959015000000001</v>
      </c>
      <c r="N50" s="40">
        <v>-11.612171</v>
      </c>
      <c r="O50" s="40">
        <v>0.23984908999999999</v>
      </c>
      <c r="P50" s="40">
        <v>9.4490409999999994</v>
      </c>
      <c r="Q50" s="40">
        <v>-0.37319064000000002</v>
      </c>
      <c r="R50" s="40">
        <v>4.5080422999999996</v>
      </c>
      <c r="S50" s="40">
        <v>-35.893664999999999</v>
      </c>
      <c r="T50" s="40">
        <v>-7.2209779999999997</v>
      </c>
      <c r="U50" s="40">
        <v>9.943092</v>
      </c>
      <c r="V50" s="155">
        <v>23.609197999999999</v>
      </c>
      <c r="W50" s="24"/>
    </row>
    <row r="51" spans="1:23" x14ac:dyDescent="0.35">
      <c r="A51" s="2">
        <v>43329</v>
      </c>
      <c r="B51" s="40">
        <v>-12.518507</v>
      </c>
      <c r="C51" s="40">
        <v>-2.0600260000000001</v>
      </c>
      <c r="D51" s="40">
        <v>-13.137513</v>
      </c>
      <c r="E51" s="40">
        <v>-9.5568480000000005</v>
      </c>
      <c r="F51" s="40">
        <v>-7.0154610000000002</v>
      </c>
      <c r="G51" s="40">
        <v>6.0463550000000001</v>
      </c>
      <c r="H51" s="40">
        <v>9.4573739999999997</v>
      </c>
      <c r="I51" s="40">
        <v>4.1127799999999999</v>
      </c>
      <c r="J51" s="40">
        <v>-9.334028</v>
      </c>
      <c r="K51" s="40">
        <v>-0.31349062999999999</v>
      </c>
      <c r="L51" s="40">
        <v>-10.567152</v>
      </c>
      <c r="M51" s="40">
        <v>-9.2390779999999992</v>
      </c>
      <c r="N51" s="40">
        <v>-15.447044</v>
      </c>
      <c r="O51" s="40">
        <v>6.3039063999999998</v>
      </c>
      <c r="P51" s="40">
        <v>2.112031</v>
      </c>
      <c r="Q51" s="40">
        <v>7.4646590000000002</v>
      </c>
      <c r="R51" s="40">
        <v>7.7179073999999996</v>
      </c>
      <c r="S51" s="40">
        <v>-49.546210000000002</v>
      </c>
      <c r="T51" s="40">
        <v>-5.1742850000000002</v>
      </c>
      <c r="U51" s="40">
        <v>17.444873999999999</v>
      </c>
      <c r="V51" s="155">
        <v>18.415403000000001</v>
      </c>
      <c r="W51" s="24"/>
    </row>
    <row r="52" spans="1:23" x14ac:dyDescent="0.35">
      <c r="A52" s="2">
        <v>43362</v>
      </c>
      <c r="B52" s="40">
        <v>-14.821344</v>
      </c>
      <c r="C52" s="40">
        <v>-5.1777066999999999</v>
      </c>
      <c r="D52" s="40">
        <v>-14.240307</v>
      </c>
      <c r="E52" s="40">
        <v>-17.448741999999999</v>
      </c>
      <c r="F52" s="40">
        <v>-11.987841</v>
      </c>
      <c r="G52" s="40">
        <v>-2.5378107999999999</v>
      </c>
      <c r="H52" s="40">
        <v>6.1342835000000004</v>
      </c>
      <c r="I52" s="40">
        <v>2.4178267</v>
      </c>
      <c r="J52" s="40">
        <v>-5.6286693000000003</v>
      </c>
      <c r="K52" s="40">
        <v>-2.1128355999999999</v>
      </c>
      <c r="L52" s="40">
        <v>-22.408442999999998</v>
      </c>
      <c r="M52" s="40">
        <v>-10.029536</v>
      </c>
      <c r="N52" s="40">
        <v>-10.507655</v>
      </c>
      <c r="O52" s="40">
        <v>-0.71069599999999999</v>
      </c>
      <c r="P52" s="40">
        <v>-6.087053</v>
      </c>
      <c r="Q52" s="40">
        <v>18.52007</v>
      </c>
      <c r="R52" s="40">
        <v>4.6162010000000002</v>
      </c>
      <c r="S52" s="40">
        <v>-46.874809999999997</v>
      </c>
      <c r="T52" s="40">
        <v>-9.6990049999999997</v>
      </c>
      <c r="U52" s="40">
        <v>13.012362</v>
      </c>
      <c r="V52" s="155">
        <v>11.390209</v>
      </c>
      <c r="W52" s="24"/>
    </row>
    <row r="53" spans="1:23" x14ac:dyDescent="0.35">
      <c r="A53" s="2">
        <v>43392</v>
      </c>
      <c r="B53" s="40">
        <v>-22.061789000000001</v>
      </c>
      <c r="C53" s="40">
        <v>-15.235954</v>
      </c>
      <c r="D53" s="40">
        <v>-16.724609999999998</v>
      </c>
      <c r="E53" s="40">
        <v>-20.17482</v>
      </c>
      <c r="F53" s="40">
        <v>-15.109318999999999</v>
      </c>
      <c r="G53" s="40">
        <v>-10.929161000000001</v>
      </c>
      <c r="H53" s="40">
        <v>2.1654844</v>
      </c>
      <c r="I53" s="40">
        <v>-8.7989149999999992</v>
      </c>
      <c r="J53" s="40">
        <v>-7.2649600000000003</v>
      </c>
      <c r="K53" s="40">
        <v>-12.125522</v>
      </c>
      <c r="L53" s="40">
        <v>-5.8710933000000001</v>
      </c>
      <c r="M53" s="40">
        <v>-17.545974999999999</v>
      </c>
      <c r="N53" s="40">
        <v>-17.939478000000001</v>
      </c>
      <c r="O53" s="40">
        <v>-11.879956999999999</v>
      </c>
      <c r="P53" s="40">
        <v>-16.196418999999999</v>
      </c>
      <c r="Q53" s="40">
        <v>26.108001999999999</v>
      </c>
      <c r="R53" s="40">
        <v>-0.92192890000000005</v>
      </c>
      <c r="S53" s="40">
        <v>-40.448982000000001</v>
      </c>
      <c r="T53" s="40">
        <v>-12.352270000000001</v>
      </c>
      <c r="U53" s="40">
        <v>1.697886</v>
      </c>
      <c r="V53" s="155">
        <v>14.159691</v>
      </c>
      <c r="W53" s="24"/>
    </row>
    <row r="54" spans="1:23" x14ac:dyDescent="0.35">
      <c r="A54" s="2">
        <v>43423</v>
      </c>
      <c r="B54" s="40">
        <v>-21.216953</v>
      </c>
      <c r="C54" s="40">
        <v>-10.753351</v>
      </c>
      <c r="D54" s="40">
        <v>-9.8138330000000007</v>
      </c>
      <c r="E54" s="40">
        <v>-16.997343000000001</v>
      </c>
      <c r="F54" s="40">
        <v>-15.12</v>
      </c>
      <c r="G54" s="40">
        <v>-9.3471109999999999</v>
      </c>
      <c r="H54" s="40">
        <v>0.52515270000000003</v>
      </c>
      <c r="I54" s="40">
        <v>-10.542303</v>
      </c>
      <c r="J54" s="40">
        <v>-16.153960999999999</v>
      </c>
      <c r="K54" s="40">
        <v>-18.996483000000001</v>
      </c>
      <c r="L54" s="40">
        <v>2.9143333</v>
      </c>
      <c r="M54" s="40">
        <v>-14.105368</v>
      </c>
      <c r="N54" s="40">
        <v>-14.123529</v>
      </c>
      <c r="O54" s="40">
        <v>-6.198925</v>
      </c>
      <c r="P54" s="40">
        <v>-16.786224000000001</v>
      </c>
      <c r="Q54" s="40">
        <v>46.681179999999998</v>
      </c>
      <c r="R54" s="40">
        <v>-4.2647066000000002</v>
      </c>
      <c r="S54" s="40">
        <v>-33.20926</v>
      </c>
      <c r="T54" s="40">
        <v>-6.6033125000000004</v>
      </c>
      <c r="U54" s="40">
        <v>-9.5717669999999995</v>
      </c>
      <c r="V54" s="155">
        <v>13.8634205</v>
      </c>
      <c r="W54" s="24"/>
    </row>
    <row r="55" spans="1:23" x14ac:dyDescent="0.35">
      <c r="A55" s="2">
        <v>43453</v>
      </c>
      <c r="B55" s="40">
        <v>-24.077309</v>
      </c>
      <c r="C55" s="40">
        <v>-18.319714000000001</v>
      </c>
      <c r="D55" s="40">
        <v>-8.4702014999999999</v>
      </c>
      <c r="E55" s="40">
        <v>-16.325516</v>
      </c>
      <c r="F55" s="40">
        <v>-11.420888</v>
      </c>
      <c r="G55" s="40">
        <v>-8.1820190000000004</v>
      </c>
      <c r="H55" s="40">
        <v>-6.9732960000000004</v>
      </c>
      <c r="I55" s="40">
        <v>-8.8621730000000003</v>
      </c>
      <c r="J55" s="40">
        <v>-17.121822000000002</v>
      </c>
      <c r="K55" s="40">
        <v>-19.669384000000001</v>
      </c>
      <c r="L55" s="40">
        <v>-1.7075479</v>
      </c>
      <c r="M55" s="40">
        <v>-23.776419000000001</v>
      </c>
      <c r="N55" s="40">
        <v>-27.478152999999999</v>
      </c>
      <c r="O55" s="40">
        <v>-6.8038759999999998</v>
      </c>
      <c r="P55" s="40">
        <v>-18.227594</v>
      </c>
      <c r="Q55" s="40">
        <v>25.428235999999998</v>
      </c>
      <c r="R55" s="40">
        <v>-7.5731276999999997</v>
      </c>
      <c r="S55" s="40">
        <v>-37.847526999999999</v>
      </c>
      <c r="T55" s="40">
        <v>-12.261236</v>
      </c>
      <c r="U55" s="40">
        <v>-11.055165000000001</v>
      </c>
      <c r="V55" s="155">
        <v>15.696812</v>
      </c>
      <c r="W55" s="24"/>
    </row>
    <row r="56" spans="1:23" x14ac:dyDescent="0.35">
      <c r="A56" s="2">
        <v>43483</v>
      </c>
      <c r="B56" s="40">
        <v>-25.682682</v>
      </c>
      <c r="C56" s="40">
        <v>-15.610111</v>
      </c>
      <c r="D56" s="40">
        <v>-6.7582550000000001</v>
      </c>
      <c r="E56" s="40">
        <v>-10.201656</v>
      </c>
      <c r="F56" s="40">
        <v>-16.983635</v>
      </c>
      <c r="G56" s="40">
        <v>-14.603382</v>
      </c>
      <c r="H56" s="40">
        <v>-8.4613499999999995</v>
      </c>
      <c r="I56" s="40">
        <v>-12.840623000000001</v>
      </c>
      <c r="J56" s="40">
        <v>-12.434405</v>
      </c>
      <c r="K56" s="40">
        <v>-19.419039000000001</v>
      </c>
      <c r="L56" s="40">
        <v>1.3889909</v>
      </c>
      <c r="M56" s="40">
        <v>-21.442253000000001</v>
      </c>
      <c r="N56" s="40">
        <v>-33.246029999999998</v>
      </c>
      <c r="O56" s="40">
        <v>-10.450625</v>
      </c>
      <c r="P56" s="40">
        <v>-20.085906999999999</v>
      </c>
      <c r="Q56" s="40">
        <v>21.266472</v>
      </c>
      <c r="R56" s="40">
        <v>-12.947141999999999</v>
      </c>
      <c r="S56" s="40">
        <v>-37.549346999999997</v>
      </c>
      <c r="T56" s="40">
        <v>-16.660744000000001</v>
      </c>
      <c r="U56" s="40">
        <v>-16.731209</v>
      </c>
      <c r="V56" s="155">
        <v>19.892609</v>
      </c>
      <c r="W56" s="24"/>
    </row>
    <row r="57" spans="1:23" x14ac:dyDescent="0.35">
      <c r="A57" s="2">
        <v>43515</v>
      </c>
      <c r="B57" s="40">
        <v>-17.178799000000001</v>
      </c>
      <c r="C57" s="40">
        <v>-13.798118000000001</v>
      </c>
      <c r="D57" s="40">
        <v>-9.320646</v>
      </c>
      <c r="E57" s="40">
        <v>-7.7740134999999997</v>
      </c>
      <c r="F57" s="40">
        <v>-14.73226</v>
      </c>
      <c r="G57" s="40">
        <v>-6.9086550000000004</v>
      </c>
      <c r="H57" s="40">
        <v>-9.5894449999999996</v>
      </c>
      <c r="I57" s="40">
        <v>-9.6778870000000001</v>
      </c>
      <c r="J57" s="40">
        <v>-13.738548</v>
      </c>
      <c r="K57" s="40">
        <v>-14.826012</v>
      </c>
      <c r="L57" s="40">
        <v>2.3579597000000001E-2</v>
      </c>
      <c r="M57" s="40">
        <v>-24.737822999999999</v>
      </c>
      <c r="N57" s="40">
        <v>-28.303325999999998</v>
      </c>
      <c r="O57" s="40">
        <v>-9.2843169999999997</v>
      </c>
      <c r="P57" s="40">
        <v>-15.212947</v>
      </c>
      <c r="Q57" s="40">
        <v>13.410187000000001</v>
      </c>
      <c r="R57" s="40">
        <v>-9.4236140000000006</v>
      </c>
      <c r="S57" s="40">
        <v>-36.105800000000002</v>
      </c>
      <c r="T57" s="40">
        <v>-13.795071999999999</v>
      </c>
      <c r="U57" s="40">
        <v>-11.2925415</v>
      </c>
      <c r="V57" s="155">
        <v>19.165182000000001</v>
      </c>
      <c r="W57" s="24"/>
    </row>
    <row r="58" spans="1:23" x14ac:dyDescent="0.35">
      <c r="A58" s="2">
        <v>43543</v>
      </c>
      <c r="B58" s="40">
        <v>-7.7921332999999997</v>
      </c>
      <c r="C58" s="40">
        <v>-13.098204000000001</v>
      </c>
      <c r="D58" s="40">
        <v>-1.8693626000000001</v>
      </c>
      <c r="E58" s="40">
        <v>-2.5710522999999998</v>
      </c>
      <c r="F58" s="40">
        <v>-4.9428280000000004</v>
      </c>
      <c r="G58" s="40">
        <v>-2.7763665</v>
      </c>
      <c r="H58" s="40">
        <v>-8.5880390000000002</v>
      </c>
      <c r="I58" s="40">
        <v>-7.5875399999999997</v>
      </c>
      <c r="J58" s="40">
        <v>-10.078101999999999</v>
      </c>
      <c r="K58" s="40">
        <v>-15.979773</v>
      </c>
      <c r="L58" s="40">
        <v>3.5228133000000001</v>
      </c>
      <c r="M58" s="40">
        <v>-21.619965000000001</v>
      </c>
      <c r="N58" s="40">
        <v>-17.567152</v>
      </c>
      <c r="O58" s="40">
        <v>7.0588110000000004</v>
      </c>
      <c r="P58" s="40">
        <v>-10.883724000000001</v>
      </c>
      <c r="Q58" s="40">
        <v>13.714897000000001</v>
      </c>
      <c r="R58" s="40">
        <v>-9.4288830000000008</v>
      </c>
      <c r="S58" s="40">
        <v>-32.458460000000002</v>
      </c>
      <c r="T58" s="40">
        <v>-7.3136089999999996</v>
      </c>
      <c r="U58" s="40">
        <v>-10.181105000000001</v>
      </c>
      <c r="V58" s="155">
        <v>17.751455</v>
      </c>
      <c r="W58" s="24"/>
    </row>
    <row r="59" spans="1:23" x14ac:dyDescent="0.35">
      <c r="A59" s="2">
        <v>43573</v>
      </c>
      <c r="B59" s="40">
        <v>3.7062764000000001</v>
      </c>
      <c r="C59" s="40">
        <v>-17.988507999999999</v>
      </c>
      <c r="D59" s="40">
        <v>-1.4770209999999999</v>
      </c>
      <c r="E59" s="40">
        <v>2.3221729999999998</v>
      </c>
      <c r="F59" s="40">
        <v>-9.5991549999999997</v>
      </c>
      <c r="G59" s="40">
        <v>-12.512684</v>
      </c>
      <c r="H59" s="40">
        <v>-16.623926000000001</v>
      </c>
      <c r="I59" s="40">
        <v>-1.352644</v>
      </c>
      <c r="J59" s="40">
        <v>-10.953533</v>
      </c>
      <c r="K59" s="40">
        <v>-15.408277500000001</v>
      </c>
      <c r="L59" s="40">
        <v>-4.7817825999999997</v>
      </c>
      <c r="M59" s="40">
        <v>-13.660359</v>
      </c>
      <c r="N59" s="40">
        <v>-17.695640000000001</v>
      </c>
      <c r="O59" s="40">
        <v>3.4927367999999999</v>
      </c>
      <c r="P59" s="40">
        <v>-2.8486251999999999</v>
      </c>
      <c r="Q59" s="40">
        <v>16.776524999999999</v>
      </c>
      <c r="R59" s="40">
        <v>-6.7322550000000003</v>
      </c>
      <c r="S59" s="40">
        <v>-38.789867000000001</v>
      </c>
      <c r="T59" s="40">
        <v>-2.6618183000000002</v>
      </c>
      <c r="U59" s="40">
        <v>-12.82469</v>
      </c>
      <c r="V59" s="155">
        <v>15.723979999999999</v>
      </c>
      <c r="W59" s="24"/>
    </row>
    <row r="60" spans="1:23" x14ac:dyDescent="0.35">
      <c r="A60" s="2">
        <v>43602</v>
      </c>
      <c r="B60" s="40">
        <v>-11.751211</v>
      </c>
      <c r="C60" s="40">
        <v>-21.994949999999999</v>
      </c>
      <c r="D60" s="40">
        <v>-6.4259469999999999</v>
      </c>
      <c r="E60" s="40">
        <v>-1.3896942000000001</v>
      </c>
      <c r="F60" s="40">
        <v>-8.8388980000000004</v>
      </c>
      <c r="G60" s="40">
        <v>-15.513581</v>
      </c>
      <c r="H60" s="40">
        <v>-14.828324</v>
      </c>
      <c r="I60" s="40">
        <v>-7.2423754000000002</v>
      </c>
      <c r="J60" s="40">
        <v>-2.3574948</v>
      </c>
      <c r="K60" s="40">
        <v>-23.37923</v>
      </c>
      <c r="L60" s="40">
        <v>-2.3449957000000001</v>
      </c>
      <c r="M60" s="40">
        <v>-14.782648999999999</v>
      </c>
      <c r="N60" s="40">
        <v>-15.767455</v>
      </c>
      <c r="O60" s="40">
        <v>2.0068644999999998</v>
      </c>
      <c r="P60" s="40">
        <v>-15.793127</v>
      </c>
      <c r="Q60" s="40">
        <v>11.094295499999999</v>
      </c>
      <c r="R60" s="40">
        <v>-8.1709680000000002</v>
      </c>
      <c r="S60" s="40">
        <v>-35.536470000000001</v>
      </c>
      <c r="T60" s="40">
        <v>-9.7868980000000008</v>
      </c>
      <c r="U60" s="40">
        <v>-5.0258455</v>
      </c>
      <c r="V60" s="155">
        <v>10.970485999999999</v>
      </c>
      <c r="W60" s="24"/>
    </row>
    <row r="61" spans="1:23" x14ac:dyDescent="0.35">
      <c r="A61" s="2">
        <v>43635</v>
      </c>
      <c r="B61" s="40">
        <v>-2.1049023</v>
      </c>
      <c r="C61" s="40">
        <v>-14.920652</v>
      </c>
      <c r="D61" s="40">
        <v>9.8209619999999997</v>
      </c>
      <c r="E61" s="40">
        <v>15.390706</v>
      </c>
      <c r="F61" s="40">
        <v>8.1118109999999994</v>
      </c>
      <c r="G61" s="40">
        <v>-9.1927950000000003</v>
      </c>
      <c r="H61" s="40">
        <v>-3.844732</v>
      </c>
      <c r="I61" s="40">
        <v>-0.68300959999999999</v>
      </c>
      <c r="J61" s="40">
        <v>2.1285772000000001</v>
      </c>
      <c r="K61" s="40">
        <v>-12.341488</v>
      </c>
      <c r="L61" s="40">
        <v>36.064349999999997</v>
      </c>
      <c r="M61" s="40">
        <v>3.3445119999999999</v>
      </c>
      <c r="N61" s="40">
        <v>2.6725292</v>
      </c>
      <c r="O61" s="40">
        <v>5.9511064999999999</v>
      </c>
      <c r="P61" s="40">
        <v>-12.6157465</v>
      </c>
      <c r="Q61" s="40">
        <v>13.936054</v>
      </c>
      <c r="R61" s="40">
        <v>4.0523530000000001</v>
      </c>
      <c r="S61" s="40">
        <v>-15.446925</v>
      </c>
      <c r="T61" s="40">
        <v>-11.461639</v>
      </c>
      <c r="U61" s="40">
        <v>2.3217082000000002</v>
      </c>
      <c r="V61" s="155">
        <v>14.787376</v>
      </c>
      <c r="W61" s="24"/>
    </row>
    <row r="62" spans="1:23" x14ac:dyDescent="0.35">
      <c r="A62" s="2">
        <v>43665</v>
      </c>
      <c r="B62" s="40">
        <v>10.694551000000001</v>
      </c>
      <c r="C62" s="40">
        <v>-11.295957</v>
      </c>
      <c r="D62" s="40">
        <v>16.299606000000001</v>
      </c>
      <c r="E62" s="40">
        <v>18.523705</v>
      </c>
      <c r="F62" s="40">
        <v>7.0153356000000002</v>
      </c>
      <c r="G62" s="40">
        <v>-1.1268914000000001</v>
      </c>
      <c r="H62" s="40">
        <v>-4.4217230000000001</v>
      </c>
      <c r="I62" s="40">
        <v>0.56256055999999999</v>
      </c>
      <c r="J62" s="40">
        <v>-12.718164</v>
      </c>
      <c r="K62" s="40">
        <v>-10.357684000000001</v>
      </c>
      <c r="L62" s="40">
        <v>37.150455000000001</v>
      </c>
      <c r="M62" s="40">
        <v>-0.18780827999999999</v>
      </c>
      <c r="N62" s="40">
        <v>4.8943159999999999</v>
      </c>
      <c r="O62" s="40">
        <v>3.1176925</v>
      </c>
      <c r="P62" s="40">
        <v>-4.0700139999999996</v>
      </c>
      <c r="Q62" s="40">
        <v>8.8353040000000007</v>
      </c>
      <c r="R62" s="40">
        <v>5.3561569999999996</v>
      </c>
      <c r="S62" s="40">
        <v>-4.0791035000000004</v>
      </c>
      <c r="T62" s="40">
        <v>-6.4028919999999996</v>
      </c>
      <c r="U62" s="40">
        <v>3.5356879999999999</v>
      </c>
      <c r="V62" s="155">
        <v>9.6580270000000006</v>
      </c>
      <c r="W62" s="24"/>
    </row>
    <row r="63" spans="1:23" x14ac:dyDescent="0.35">
      <c r="A63" s="2">
        <v>43696</v>
      </c>
      <c r="B63" s="40">
        <v>12.787247000000001</v>
      </c>
      <c r="C63" s="40">
        <v>-15.925848</v>
      </c>
      <c r="D63" s="40">
        <v>10.199558</v>
      </c>
      <c r="E63" s="40">
        <v>5.8985950000000003</v>
      </c>
      <c r="F63" s="40">
        <v>-9.1013730000000006</v>
      </c>
      <c r="G63" s="40">
        <v>-8.3004180000000005</v>
      </c>
      <c r="H63" s="40">
        <v>-10.7132015</v>
      </c>
      <c r="I63" s="40">
        <v>-2.9480875000000002</v>
      </c>
      <c r="J63" s="40">
        <v>-19.736034</v>
      </c>
      <c r="K63" s="40">
        <v>-18.265747000000001</v>
      </c>
      <c r="L63" s="40">
        <v>25.896622000000001</v>
      </c>
      <c r="M63" s="40">
        <v>-9.4107629999999993</v>
      </c>
      <c r="N63" s="40">
        <v>6.7764163000000002</v>
      </c>
      <c r="O63" s="40">
        <v>-8.1356760000000001</v>
      </c>
      <c r="P63" s="40">
        <v>-3.8015604000000001</v>
      </c>
      <c r="Q63" s="40">
        <v>0.43213367000000003</v>
      </c>
      <c r="R63" s="40">
        <v>-3.1230031999999999</v>
      </c>
      <c r="S63" s="40">
        <v>17.618501999999999</v>
      </c>
      <c r="T63" s="40">
        <v>-8.8965049999999994</v>
      </c>
      <c r="U63" s="40">
        <v>-3.9173722</v>
      </c>
      <c r="V63" s="155">
        <v>11.878299999999999</v>
      </c>
      <c r="W63" s="24"/>
    </row>
    <row r="64" spans="1:23" x14ac:dyDescent="0.35">
      <c r="A64" s="2">
        <v>43727</v>
      </c>
      <c r="B64" s="40">
        <v>15.012036999999999</v>
      </c>
      <c r="C64" s="40">
        <v>-14.702790999999999</v>
      </c>
      <c r="D64" s="40">
        <v>12.196408999999999</v>
      </c>
      <c r="E64" s="40">
        <v>12.33691</v>
      </c>
      <c r="F64" s="40">
        <v>-8.6497899999999994</v>
      </c>
      <c r="G64" s="40">
        <v>-2.6313423999999999</v>
      </c>
      <c r="H64" s="40">
        <v>-10.952938</v>
      </c>
      <c r="I64" s="40">
        <v>1.5103340000000001</v>
      </c>
      <c r="J64" s="40">
        <v>-13.127446000000001</v>
      </c>
      <c r="K64" s="40">
        <v>-13.454824</v>
      </c>
      <c r="L64" s="40">
        <v>32.497275999999999</v>
      </c>
      <c r="M64" s="40">
        <v>0.37499665999999998</v>
      </c>
      <c r="N64" s="40">
        <v>16.093695</v>
      </c>
      <c r="O64" s="40">
        <v>-6.1027230000000001</v>
      </c>
      <c r="P64" s="40">
        <v>0.11618137000000001</v>
      </c>
      <c r="Q64" s="40">
        <v>4.7841906999999999</v>
      </c>
      <c r="R64" s="40">
        <v>-6.2372866</v>
      </c>
      <c r="S64" s="40">
        <v>15.825224</v>
      </c>
      <c r="T64" s="40">
        <v>-3.0874907999999999</v>
      </c>
      <c r="U64" s="40">
        <v>-3.5620390999999998</v>
      </c>
      <c r="V64" s="155">
        <v>5.9788345999999999</v>
      </c>
      <c r="W64" s="24"/>
    </row>
    <row r="65" spans="1:23" x14ac:dyDescent="0.35">
      <c r="A65" s="2">
        <v>43756</v>
      </c>
      <c r="B65" s="40">
        <v>26.621319</v>
      </c>
      <c r="C65" s="40">
        <v>-6.2627195999999996</v>
      </c>
      <c r="D65" s="40">
        <v>18.338097000000001</v>
      </c>
      <c r="E65" s="40">
        <v>19.059086000000001</v>
      </c>
      <c r="F65" s="40">
        <v>-1.8586457000000001</v>
      </c>
      <c r="G65" s="40">
        <v>-1.8206059999999999</v>
      </c>
      <c r="H65" s="40">
        <v>-5.7531299999999996</v>
      </c>
      <c r="I65" s="40">
        <v>18.225216</v>
      </c>
      <c r="J65" s="40">
        <v>-3.9266527</v>
      </c>
      <c r="K65" s="40">
        <v>-3.6818086999999999</v>
      </c>
      <c r="L65" s="40">
        <v>13.022684999999999</v>
      </c>
      <c r="M65" s="40">
        <v>9.2184779999999993</v>
      </c>
      <c r="N65" s="40">
        <v>32.328353999999997</v>
      </c>
      <c r="O65" s="40">
        <v>16.404008999999999</v>
      </c>
      <c r="P65" s="40">
        <v>11.152053</v>
      </c>
      <c r="Q65" s="40">
        <v>4.1470529999999997</v>
      </c>
      <c r="R65" s="40">
        <v>-3.0589879</v>
      </c>
      <c r="S65" s="40">
        <v>1.3209223999999999</v>
      </c>
      <c r="T65" s="40">
        <v>0.33739805</v>
      </c>
      <c r="U65" s="40">
        <v>4.9787759999999999</v>
      </c>
      <c r="V65" s="155">
        <v>4.2744517000000002</v>
      </c>
      <c r="W65" s="24"/>
    </row>
    <row r="66" spans="1:23" x14ac:dyDescent="0.35">
      <c r="A66" s="2">
        <v>43788</v>
      </c>
      <c r="B66" s="40">
        <v>20.694732999999999</v>
      </c>
      <c r="C66" s="40">
        <v>-23.509353999999998</v>
      </c>
      <c r="D66" s="40">
        <v>4.8802136999999997</v>
      </c>
      <c r="E66" s="40">
        <v>14.034855</v>
      </c>
      <c r="F66" s="40">
        <v>-0.77080130000000002</v>
      </c>
      <c r="G66" s="40">
        <v>-1.1751771</v>
      </c>
      <c r="H66" s="40">
        <v>-2.9908538</v>
      </c>
      <c r="I66" s="40">
        <v>25.954998</v>
      </c>
      <c r="J66" s="40">
        <v>10.939657</v>
      </c>
      <c r="K66" s="40">
        <v>2.6710272000000002</v>
      </c>
      <c r="L66" s="40">
        <v>8.2025050000000004</v>
      </c>
      <c r="M66" s="40">
        <v>3.1367660000000002</v>
      </c>
      <c r="N66" s="40">
        <v>38.517654</v>
      </c>
      <c r="O66" s="40">
        <v>7.4753404000000003</v>
      </c>
      <c r="P66" s="40">
        <v>10.192574</v>
      </c>
      <c r="Q66" s="40">
        <v>-2.6766062000000002</v>
      </c>
      <c r="R66" s="40">
        <v>-1.7861484999999999</v>
      </c>
      <c r="S66" s="40">
        <v>9.4321370000000009</v>
      </c>
      <c r="T66" s="40">
        <v>-4.5664429999999996</v>
      </c>
      <c r="U66" s="40">
        <v>9.9628209999999999</v>
      </c>
      <c r="V66" s="155">
        <v>9.5635530000000006</v>
      </c>
      <c r="W66" s="24"/>
    </row>
    <row r="67" spans="1:23" x14ac:dyDescent="0.35">
      <c r="A67" s="2">
        <v>43818</v>
      </c>
      <c r="B67" s="40">
        <v>31.029404</v>
      </c>
      <c r="C67" s="40">
        <v>-17.353725000000001</v>
      </c>
      <c r="D67" s="40">
        <v>5.5163739999999999</v>
      </c>
      <c r="E67" s="40">
        <v>8.7691780000000001</v>
      </c>
      <c r="F67" s="40">
        <v>-8.0435809999999996</v>
      </c>
      <c r="G67" s="40">
        <v>4.8260927000000002</v>
      </c>
      <c r="H67" s="40">
        <v>1.8564463</v>
      </c>
      <c r="I67" s="40">
        <v>35.214077000000003</v>
      </c>
      <c r="J67" s="40">
        <v>18.258452999999999</v>
      </c>
      <c r="K67" s="40">
        <v>8.8744049999999994</v>
      </c>
      <c r="L67" s="40">
        <v>29.412483000000002</v>
      </c>
      <c r="M67" s="40">
        <v>13.240278</v>
      </c>
      <c r="N67" s="40">
        <v>45.077038000000002</v>
      </c>
      <c r="O67" s="40">
        <v>9.1014499999999998</v>
      </c>
      <c r="P67" s="40">
        <v>22.381329000000001</v>
      </c>
      <c r="Q67" s="40">
        <v>-3.6159634999999999</v>
      </c>
      <c r="R67" s="40">
        <v>-1.7244159999999999</v>
      </c>
      <c r="S67" s="40">
        <v>10.811925</v>
      </c>
      <c r="T67" s="40">
        <v>0.7623434</v>
      </c>
      <c r="U67" s="40">
        <v>6.5557480000000004</v>
      </c>
      <c r="V67" s="155">
        <v>9.8876840000000001</v>
      </c>
      <c r="W67" s="24"/>
    </row>
    <row r="68" spans="1:23" x14ac:dyDescent="0.35">
      <c r="A68" s="2">
        <v>43847</v>
      </c>
      <c r="B68" s="40">
        <v>32.043922000000002</v>
      </c>
      <c r="C68" s="40">
        <v>-24.488579999999999</v>
      </c>
      <c r="D68" s="40">
        <v>0.30794144000000001</v>
      </c>
      <c r="E68" s="40">
        <v>-0.80154539999999996</v>
      </c>
      <c r="F68" s="40">
        <v>-7.8453064000000001</v>
      </c>
      <c r="G68" s="40">
        <v>3.5504102999999998</v>
      </c>
      <c r="H68" s="40">
        <v>-2.4717986999999999</v>
      </c>
      <c r="I68" s="40">
        <v>33.020985000000003</v>
      </c>
      <c r="J68" s="40">
        <v>9.6782679999999992</v>
      </c>
      <c r="K68" s="40">
        <v>7.0317388000000003</v>
      </c>
      <c r="L68" s="40">
        <v>11.702574</v>
      </c>
      <c r="M68" s="40">
        <v>-0.80087779999999997</v>
      </c>
      <c r="N68" s="40">
        <v>46.652209999999997</v>
      </c>
      <c r="O68" s="40">
        <v>10.707951</v>
      </c>
      <c r="P68" s="40">
        <v>21.334648000000001</v>
      </c>
      <c r="Q68" s="40">
        <v>-3.9188683000000002</v>
      </c>
      <c r="R68" s="40">
        <v>1.2769699000000001</v>
      </c>
      <c r="S68" s="40">
        <v>15.164446999999999</v>
      </c>
      <c r="T68" s="40">
        <v>1.5079260000000001</v>
      </c>
      <c r="U68" s="40">
        <v>5.0869106999999998</v>
      </c>
      <c r="V68" s="155">
        <v>1.0899901000000001</v>
      </c>
      <c r="W68" s="24"/>
    </row>
    <row r="69" spans="1:23" x14ac:dyDescent="0.35">
      <c r="A69" s="2">
        <v>43880</v>
      </c>
      <c r="B69" s="40">
        <v>15.974987</v>
      </c>
      <c r="C69" s="40">
        <v>-32.941650000000003</v>
      </c>
      <c r="D69" s="40">
        <v>-7.129848</v>
      </c>
      <c r="E69" s="40">
        <v>-4.705495</v>
      </c>
      <c r="F69" s="40">
        <v>-11.78267</v>
      </c>
      <c r="G69" s="40">
        <v>-7.6398970000000004</v>
      </c>
      <c r="H69" s="40">
        <v>-11.214388</v>
      </c>
      <c r="I69" s="40">
        <v>24.683344000000002</v>
      </c>
      <c r="J69" s="40">
        <v>11.443149999999999</v>
      </c>
      <c r="K69" s="40">
        <v>-1.9731282999999999</v>
      </c>
      <c r="L69" s="40">
        <v>2.2096276000000001</v>
      </c>
      <c r="M69" s="40">
        <v>-2.4021506000000001</v>
      </c>
      <c r="N69" s="40">
        <v>24.516307999999999</v>
      </c>
      <c r="O69" s="40">
        <v>12.624729</v>
      </c>
      <c r="P69" s="40">
        <v>11.387276999999999</v>
      </c>
      <c r="Q69" s="40">
        <v>-1.555264</v>
      </c>
      <c r="R69" s="40">
        <v>-7.9580070000000003</v>
      </c>
      <c r="S69" s="40">
        <v>2.4988055</v>
      </c>
      <c r="T69" s="40">
        <v>-3.8115144000000001</v>
      </c>
      <c r="U69" s="40">
        <v>-8.9898220000000002</v>
      </c>
      <c r="V69" s="155">
        <v>-7.8569829999999996</v>
      </c>
      <c r="W69" s="24"/>
    </row>
    <row r="70" spans="1:23" x14ac:dyDescent="0.35">
      <c r="A70" s="2">
        <v>43909</v>
      </c>
      <c r="B70" s="40">
        <v>-6.390822</v>
      </c>
      <c r="C70" s="40">
        <v>-55.930720000000001</v>
      </c>
      <c r="D70" s="40">
        <v>-48.215229999999998</v>
      </c>
      <c r="E70" s="40">
        <v>-41.61412</v>
      </c>
      <c r="F70" s="40">
        <v>-43.938899999999997</v>
      </c>
      <c r="G70" s="40">
        <v>-42.311050000000002</v>
      </c>
      <c r="H70" s="40">
        <v>-35.958331999999999</v>
      </c>
      <c r="I70" s="40">
        <v>-11.772042000000001</v>
      </c>
      <c r="J70" s="40">
        <v>-32.770041999999997</v>
      </c>
      <c r="K70" s="40">
        <v>-35.784702000000003</v>
      </c>
      <c r="L70" s="40">
        <v>-48.557926000000002</v>
      </c>
      <c r="M70" s="40">
        <v>-45.235664</v>
      </c>
      <c r="N70" s="40">
        <v>-35.661070000000002</v>
      </c>
      <c r="O70" s="40">
        <v>-34.897069999999999</v>
      </c>
      <c r="P70" s="40">
        <v>-14.802295000000001</v>
      </c>
      <c r="Q70" s="40">
        <v>-11.411863</v>
      </c>
      <c r="R70" s="40">
        <v>-35.942805999999997</v>
      </c>
      <c r="S70" s="40">
        <v>-31.211489</v>
      </c>
      <c r="T70" s="40">
        <v>-35.05789</v>
      </c>
      <c r="U70" s="40">
        <v>-37.840564999999998</v>
      </c>
      <c r="V70" s="155">
        <v>-29.125332</v>
      </c>
      <c r="W70" s="24"/>
    </row>
    <row r="71" spans="1:23" x14ac:dyDescent="0.35">
      <c r="A71" s="2">
        <v>43938</v>
      </c>
      <c r="B71" s="40">
        <v>-7.3378920000000001</v>
      </c>
      <c r="C71" s="40">
        <v>-45.127696999999998</v>
      </c>
      <c r="D71" s="40">
        <v>-40.599586000000002</v>
      </c>
      <c r="E71" s="40">
        <v>-28.447025</v>
      </c>
      <c r="F71" s="40">
        <v>-35.62659</v>
      </c>
      <c r="G71" s="40">
        <v>-34.282367999999998</v>
      </c>
      <c r="H71" s="40">
        <v>-17.120349999999998</v>
      </c>
      <c r="I71" s="40">
        <v>2.5036453999999999</v>
      </c>
      <c r="J71" s="40">
        <v>-38.409424000000001</v>
      </c>
      <c r="K71" s="40">
        <v>-19.330041999999999</v>
      </c>
      <c r="L71" s="40">
        <v>-35.259830000000001</v>
      </c>
      <c r="M71" s="40">
        <v>-41.00855</v>
      </c>
      <c r="N71" s="40">
        <v>-27.637720000000002</v>
      </c>
      <c r="O71" s="40">
        <v>-26.962143000000001</v>
      </c>
      <c r="P71" s="40">
        <v>-5.7964444000000004</v>
      </c>
      <c r="Q71" s="40">
        <v>-13.893682</v>
      </c>
      <c r="R71" s="40">
        <v>-25.935929999999999</v>
      </c>
      <c r="S71" s="40">
        <v>-15.3873625</v>
      </c>
      <c r="T71" s="40">
        <v>-33.216929999999998</v>
      </c>
      <c r="U71" s="40">
        <v>-26.5688</v>
      </c>
      <c r="V71" s="155">
        <v>-28.765308000000001</v>
      </c>
      <c r="W71" s="24"/>
    </row>
    <row r="72" spans="1:23" x14ac:dyDescent="0.35">
      <c r="A72" s="2">
        <v>43970</v>
      </c>
      <c r="B72" s="40">
        <v>10.671258</v>
      </c>
      <c r="C72" s="40">
        <v>-37.285910000000001</v>
      </c>
      <c r="D72" s="40">
        <v>-26.933098000000001</v>
      </c>
      <c r="E72" s="40">
        <v>-25.413197</v>
      </c>
      <c r="F72" s="40">
        <v>-28.610468000000001</v>
      </c>
      <c r="G72" s="40">
        <v>-23.302340999999998</v>
      </c>
      <c r="H72" s="40">
        <v>-12.520236000000001</v>
      </c>
      <c r="I72" s="40">
        <v>14.360749999999999</v>
      </c>
      <c r="J72" s="40">
        <v>-31.832879999999999</v>
      </c>
      <c r="K72" s="40">
        <v>-3.9689421999999999</v>
      </c>
      <c r="L72" s="40">
        <v>-34.932870000000001</v>
      </c>
      <c r="M72" s="40">
        <v>-30.24184</v>
      </c>
      <c r="N72" s="40">
        <v>-23.379427</v>
      </c>
      <c r="O72" s="40">
        <v>-23.435223000000001</v>
      </c>
      <c r="P72" s="40">
        <v>10.013747</v>
      </c>
      <c r="Q72" s="40">
        <v>-6.5009889999999997</v>
      </c>
      <c r="R72" s="40">
        <v>-18.54102</v>
      </c>
      <c r="S72" s="40">
        <v>5.3682210000000001</v>
      </c>
      <c r="T72" s="40">
        <v>-23.884995</v>
      </c>
      <c r="U72" s="40">
        <v>-19.976664</v>
      </c>
      <c r="V72" s="155">
        <v>-18.834526</v>
      </c>
      <c r="W72" s="24"/>
    </row>
    <row r="73" spans="1:23" x14ac:dyDescent="0.35">
      <c r="A73" s="2">
        <v>44001</v>
      </c>
      <c r="B73" s="40">
        <v>12.496508</v>
      </c>
      <c r="C73" s="40">
        <v>-34.302129999999998</v>
      </c>
      <c r="D73" s="40">
        <v>-26.953696999999998</v>
      </c>
      <c r="E73" s="40">
        <v>-21.733284000000001</v>
      </c>
      <c r="F73" s="40">
        <v>-24.760973</v>
      </c>
      <c r="G73" s="40">
        <v>-18.519466000000001</v>
      </c>
      <c r="H73" s="40">
        <v>-11.027329999999999</v>
      </c>
      <c r="I73" s="40">
        <v>16.944514999999999</v>
      </c>
      <c r="J73" s="40">
        <v>-23.891264</v>
      </c>
      <c r="K73" s="40">
        <v>-1.2258290999999999</v>
      </c>
      <c r="L73" s="40">
        <v>-29.553963</v>
      </c>
      <c r="M73" s="40">
        <v>-27.869378999999999</v>
      </c>
      <c r="N73" s="40">
        <v>-26.382845</v>
      </c>
      <c r="O73" s="40">
        <v>-17.249012</v>
      </c>
      <c r="P73" s="40">
        <v>12.940884</v>
      </c>
      <c r="Q73" s="40">
        <v>-5.7229520000000003</v>
      </c>
      <c r="R73" s="40">
        <v>-19.646184999999999</v>
      </c>
      <c r="S73" s="40">
        <v>-1.9114553999999999</v>
      </c>
      <c r="T73" s="40">
        <v>-18.968046000000001</v>
      </c>
      <c r="U73" s="40">
        <v>-15.019577999999999</v>
      </c>
      <c r="V73" s="155">
        <v>-18.883586999999999</v>
      </c>
      <c r="W73" s="24"/>
    </row>
    <row r="74" spans="1:23" x14ac:dyDescent="0.35">
      <c r="A74" s="2">
        <v>44029</v>
      </c>
      <c r="B74" s="40">
        <v>26.631142000000001</v>
      </c>
      <c r="C74" s="40">
        <v>-32.982486999999999</v>
      </c>
      <c r="D74" s="40">
        <v>-27.521587</v>
      </c>
      <c r="E74" s="40">
        <v>-25.32677</v>
      </c>
      <c r="F74" s="40">
        <v>-23.153358000000001</v>
      </c>
      <c r="G74" s="40">
        <v>-21.334956999999999</v>
      </c>
      <c r="H74" s="40">
        <v>-4.5960070000000002</v>
      </c>
      <c r="I74" s="40">
        <v>23.987483999999998</v>
      </c>
      <c r="J74" s="40">
        <v>-26.307858</v>
      </c>
      <c r="K74" s="40">
        <v>6.5977930000000002</v>
      </c>
      <c r="L74" s="40">
        <v>-29.981548</v>
      </c>
      <c r="M74" s="40">
        <v>-20.079262</v>
      </c>
      <c r="N74" s="40">
        <v>-27.655702999999999</v>
      </c>
      <c r="O74" s="40">
        <v>-9.5664619999999996</v>
      </c>
      <c r="P74" s="40">
        <v>21.640968000000001</v>
      </c>
      <c r="Q74" s="40">
        <v>-2.9235302999999999</v>
      </c>
      <c r="R74" s="40">
        <v>-20.901769999999999</v>
      </c>
      <c r="S74" s="40">
        <v>-3.9778411</v>
      </c>
      <c r="T74" s="40">
        <v>-23.336155000000002</v>
      </c>
      <c r="U74" s="40">
        <v>-10.471755</v>
      </c>
      <c r="V74" s="155">
        <v>-17.413246000000001</v>
      </c>
      <c r="W74" s="24"/>
    </row>
    <row r="75" spans="1:23" x14ac:dyDescent="0.35">
      <c r="A75" s="2">
        <v>44062</v>
      </c>
      <c r="B75" s="40">
        <v>35.435250000000003</v>
      </c>
      <c r="C75" s="40">
        <v>-25.458973</v>
      </c>
      <c r="D75" s="40">
        <v>-19.933617000000002</v>
      </c>
      <c r="E75" s="40">
        <v>-18.170755</v>
      </c>
      <c r="F75" s="40">
        <v>-8.2099550000000008</v>
      </c>
      <c r="G75" s="40">
        <v>-4.4018449999999998</v>
      </c>
      <c r="H75" s="40">
        <v>0.90570450000000002</v>
      </c>
      <c r="I75" s="40">
        <v>33.788597000000003</v>
      </c>
      <c r="J75" s="40">
        <v>-10.23115</v>
      </c>
      <c r="K75" s="40">
        <v>26.122416000000001</v>
      </c>
      <c r="L75" s="40">
        <v>-24.767620000000001</v>
      </c>
      <c r="M75" s="40">
        <v>-9.8848160000000007</v>
      </c>
      <c r="N75" s="40">
        <v>-18.828427999999999</v>
      </c>
      <c r="O75" s="40">
        <v>4.0401696999999999</v>
      </c>
      <c r="P75" s="40">
        <v>31.500149</v>
      </c>
      <c r="Q75" s="40">
        <v>8.3190200000000001</v>
      </c>
      <c r="R75" s="40">
        <v>-20.069503999999998</v>
      </c>
      <c r="S75" s="40">
        <v>-11.575079000000001</v>
      </c>
      <c r="T75" s="40">
        <v>-16.758125</v>
      </c>
      <c r="U75" s="40">
        <v>-8.1311820000000008</v>
      </c>
      <c r="V75" s="155">
        <v>-9.0623079999999998</v>
      </c>
      <c r="W75" s="24"/>
    </row>
    <row r="76" spans="1:23" x14ac:dyDescent="0.35">
      <c r="A76" s="2">
        <v>44092</v>
      </c>
      <c r="B76" s="40">
        <v>32.849406999999999</v>
      </c>
      <c r="C76" s="40">
        <v>-33.403365999999998</v>
      </c>
      <c r="D76" s="40">
        <v>-27.947013999999999</v>
      </c>
      <c r="E76" s="40">
        <v>-20.880179999999999</v>
      </c>
      <c r="F76" s="40">
        <v>-17.364830000000001</v>
      </c>
      <c r="G76" s="40">
        <v>-10.341291999999999</v>
      </c>
      <c r="H76" s="40">
        <v>-3.7273765000000001</v>
      </c>
      <c r="I76" s="40">
        <v>27.050697</v>
      </c>
      <c r="J76" s="40">
        <v>-22.078842000000002</v>
      </c>
      <c r="K76" s="40">
        <v>18.475628</v>
      </c>
      <c r="L76" s="40">
        <v>-28.172165</v>
      </c>
      <c r="M76" s="40">
        <v>-17.182366999999999</v>
      </c>
      <c r="N76" s="40">
        <v>-23.312355</v>
      </c>
      <c r="O76" s="40">
        <v>7.8854920000000002</v>
      </c>
      <c r="P76" s="40">
        <v>27.551196999999998</v>
      </c>
      <c r="Q76" s="40">
        <v>3.9891361999999999</v>
      </c>
      <c r="R76" s="40">
        <v>-22.111189</v>
      </c>
      <c r="S76" s="40">
        <v>-21.160506999999999</v>
      </c>
      <c r="T76" s="40">
        <v>-18.669229999999999</v>
      </c>
      <c r="U76" s="40">
        <v>-6.6658792</v>
      </c>
      <c r="V76" s="155">
        <v>4.4763564999999996</v>
      </c>
      <c r="W76" s="24"/>
    </row>
    <row r="77" spans="1:23" x14ac:dyDescent="0.35">
      <c r="A77" s="2">
        <v>44123</v>
      </c>
      <c r="B77" s="40">
        <v>35.811413000000002</v>
      </c>
      <c r="C77" s="40">
        <v>-37.292335999999999</v>
      </c>
      <c r="D77" s="40">
        <v>-25.243169999999999</v>
      </c>
      <c r="E77" s="40">
        <v>-21.682435999999999</v>
      </c>
      <c r="F77" s="40">
        <v>-25.452984000000001</v>
      </c>
      <c r="G77" s="40">
        <v>-12.18999</v>
      </c>
      <c r="H77" s="40">
        <v>-0.73365570000000002</v>
      </c>
      <c r="I77" s="40">
        <v>23.890077999999999</v>
      </c>
      <c r="J77" s="40">
        <v>-20.428926000000001</v>
      </c>
      <c r="K77" s="40">
        <v>17.886364</v>
      </c>
      <c r="L77" s="40">
        <v>-30.07788</v>
      </c>
      <c r="M77" s="40">
        <v>-16.67071</v>
      </c>
      <c r="N77" s="40">
        <v>-31.994365999999999</v>
      </c>
      <c r="O77" s="40">
        <v>2.9885769999999998</v>
      </c>
      <c r="P77" s="40">
        <v>35.705016999999998</v>
      </c>
      <c r="Q77" s="40">
        <v>2.3617982999999998</v>
      </c>
      <c r="R77" s="40">
        <v>-25.908560000000001</v>
      </c>
      <c r="S77" s="40">
        <v>-14.805275</v>
      </c>
      <c r="T77" s="40">
        <v>-22.625048</v>
      </c>
      <c r="U77" s="40">
        <v>-6.9135784999999998</v>
      </c>
      <c r="V77" s="155">
        <v>9.2940919999999991</v>
      </c>
      <c r="W77" s="24"/>
    </row>
    <row r="78" spans="1:23" x14ac:dyDescent="0.35">
      <c r="A78" s="2">
        <v>44154</v>
      </c>
      <c r="B78" s="40">
        <v>38.896393000000003</v>
      </c>
      <c r="C78" s="40">
        <v>-14.891476000000001</v>
      </c>
      <c r="D78" s="40">
        <v>-11.065429999999999</v>
      </c>
      <c r="E78" s="40">
        <v>-8.0733595000000005</v>
      </c>
      <c r="F78" s="40">
        <v>-17.734992999999999</v>
      </c>
      <c r="G78" s="40">
        <v>-6.9534659999999997</v>
      </c>
      <c r="H78" s="40">
        <v>5.0902367000000004E-3</v>
      </c>
      <c r="I78" s="40">
        <v>27.375484</v>
      </c>
      <c r="J78" s="40">
        <v>-6.98238</v>
      </c>
      <c r="K78" s="40">
        <v>25.502157</v>
      </c>
      <c r="L78" s="40">
        <v>-19.523949000000002</v>
      </c>
      <c r="M78" s="40">
        <v>-7.9411269999999998</v>
      </c>
      <c r="N78" s="40">
        <v>-24.583594999999999</v>
      </c>
      <c r="O78" s="40">
        <v>6.9608210000000001</v>
      </c>
      <c r="P78" s="40">
        <v>35.737969999999997</v>
      </c>
      <c r="Q78" s="40">
        <v>4.8220396000000001</v>
      </c>
      <c r="R78" s="40">
        <v>-14.797324</v>
      </c>
      <c r="S78" s="40">
        <v>-11.103374000000001</v>
      </c>
      <c r="T78" s="40">
        <v>-13.680977</v>
      </c>
      <c r="U78" s="40">
        <v>-3.363645</v>
      </c>
      <c r="V78" s="155">
        <v>4.7086953999999999</v>
      </c>
      <c r="W78" s="24"/>
    </row>
    <row r="79" spans="1:23" x14ac:dyDescent="0.35">
      <c r="A79" s="2">
        <v>44183</v>
      </c>
      <c r="B79" s="40">
        <v>39.455067</v>
      </c>
      <c r="C79" s="40">
        <v>-9.1100580000000004</v>
      </c>
      <c r="D79" s="40">
        <v>-4.6614646999999998</v>
      </c>
      <c r="E79" s="40">
        <v>-2.3444593</v>
      </c>
      <c r="F79" s="40">
        <v>-6.3808737000000004</v>
      </c>
      <c r="G79" s="40">
        <v>1.0414481</v>
      </c>
      <c r="H79" s="40">
        <v>5.7956934000000002</v>
      </c>
      <c r="I79" s="40">
        <v>27.204632</v>
      </c>
      <c r="J79" s="40">
        <v>-6.9184010000000002</v>
      </c>
      <c r="K79" s="40">
        <v>33.39188</v>
      </c>
      <c r="L79" s="40">
        <v>-16.591363999999999</v>
      </c>
      <c r="M79" s="40">
        <v>-1.7757177</v>
      </c>
      <c r="N79" s="40">
        <v>-11.643326</v>
      </c>
      <c r="O79" s="40">
        <v>11.999582999999999</v>
      </c>
      <c r="P79" s="40">
        <v>28.149246000000002</v>
      </c>
      <c r="Q79" s="40">
        <v>7.6916219999999997</v>
      </c>
      <c r="R79" s="40">
        <v>-5.2029075999999996</v>
      </c>
      <c r="S79" s="40">
        <v>-4.7805549999999997</v>
      </c>
      <c r="T79" s="40">
        <v>-4.7152877000000002</v>
      </c>
      <c r="U79" s="40">
        <v>7.1190357000000004</v>
      </c>
      <c r="V79" s="155">
        <v>4.9156069999999996</v>
      </c>
      <c r="W79" s="24"/>
    </row>
    <row r="80" spans="1:23" x14ac:dyDescent="0.35">
      <c r="A80" s="2">
        <v>44215</v>
      </c>
      <c r="B80" s="40">
        <v>42.893208000000001</v>
      </c>
      <c r="C80" s="40">
        <v>-3.1164825</v>
      </c>
      <c r="D80" s="40">
        <v>-7.487279</v>
      </c>
      <c r="E80" s="40">
        <v>-3.5977125000000001</v>
      </c>
      <c r="F80" s="40">
        <v>-9.2783870000000004</v>
      </c>
      <c r="G80" s="40">
        <v>-2.3388922000000001</v>
      </c>
      <c r="H80" s="40">
        <v>-1.3440132</v>
      </c>
      <c r="I80" s="40">
        <v>41.561625999999997</v>
      </c>
      <c r="J80" s="40">
        <v>-6.5970124999999999</v>
      </c>
      <c r="K80" s="40">
        <v>45.764614000000002</v>
      </c>
      <c r="L80" s="40">
        <v>-20.002132</v>
      </c>
      <c r="M80" s="40">
        <v>-1.3992488000000001</v>
      </c>
      <c r="N80" s="40">
        <v>-13.543987</v>
      </c>
      <c r="O80" s="40">
        <v>14.08236</v>
      </c>
      <c r="P80" s="40">
        <v>33.0595</v>
      </c>
      <c r="Q80" s="40">
        <v>6.332338</v>
      </c>
      <c r="R80" s="40">
        <v>-4.8666660000000004</v>
      </c>
      <c r="S80" s="40">
        <v>-3.6649704000000001</v>
      </c>
      <c r="T80" s="40">
        <v>2.9659748000000001</v>
      </c>
      <c r="U80" s="40">
        <v>11.67754</v>
      </c>
      <c r="V80" s="155">
        <v>3.1417250000000001</v>
      </c>
      <c r="W80" s="24"/>
    </row>
    <row r="81" spans="1:23" x14ac:dyDescent="0.35">
      <c r="A81" s="2">
        <v>44246</v>
      </c>
      <c r="B81" s="40">
        <v>60.028458000000001</v>
      </c>
      <c r="C81" s="40">
        <v>12.301874</v>
      </c>
      <c r="D81" s="40">
        <v>-1.5089870000000001</v>
      </c>
      <c r="E81" s="40">
        <v>-3.4281670000000002</v>
      </c>
      <c r="F81" s="40">
        <v>0.25962590000000002</v>
      </c>
      <c r="G81" s="40">
        <v>12.776268</v>
      </c>
      <c r="H81" s="40">
        <v>5.5292487000000001</v>
      </c>
      <c r="I81" s="40">
        <v>52.022575000000003</v>
      </c>
      <c r="J81" s="40">
        <v>-10.944307</v>
      </c>
      <c r="K81" s="40">
        <v>53.629123999999997</v>
      </c>
      <c r="L81" s="40">
        <v>-17.132359999999998</v>
      </c>
      <c r="M81" s="40">
        <v>11.149036000000001</v>
      </c>
      <c r="N81" s="40">
        <v>-10.235429</v>
      </c>
      <c r="O81" s="40">
        <v>21.509314</v>
      </c>
      <c r="P81" s="40">
        <v>48.154130000000002</v>
      </c>
      <c r="Q81" s="40">
        <v>11.463463000000001</v>
      </c>
      <c r="R81" s="40">
        <v>-0.33410192</v>
      </c>
      <c r="S81" s="40">
        <v>9.8468540000000004</v>
      </c>
      <c r="T81" s="40">
        <v>5.3866266999999999</v>
      </c>
      <c r="U81" s="40">
        <v>22.945976000000002</v>
      </c>
      <c r="V81" s="155">
        <v>14.814258000000001</v>
      </c>
      <c r="W81" s="24"/>
    </row>
    <row r="82" spans="1:23" x14ac:dyDescent="0.35">
      <c r="A82" s="2">
        <v>44274</v>
      </c>
      <c r="B82" s="40">
        <v>53.758015</v>
      </c>
      <c r="C82" s="40">
        <v>82.31756</v>
      </c>
      <c r="D82" s="40">
        <v>78.627219999999994</v>
      </c>
      <c r="E82" s="40">
        <v>51.17606</v>
      </c>
      <c r="F82" s="40">
        <v>43.694293999999999</v>
      </c>
      <c r="G82" s="40">
        <v>64.611099999999993</v>
      </c>
      <c r="H82" s="40">
        <v>49.730277999999998</v>
      </c>
      <c r="I82" s="40">
        <v>101.02863000000001</v>
      </c>
      <c r="J82" s="40">
        <v>55.585692999999999</v>
      </c>
      <c r="K82" s="40">
        <v>129.66311999999999</v>
      </c>
      <c r="L82" s="40">
        <v>57.337093000000003</v>
      </c>
      <c r="M82" s="40">
        <v>101.73480000000001</v>
      </c>
      <c r="N82" s="40">
        <v>76.697519999999997</v>
      </c>
      <c r="O82" s="40">
        <v>86.80265</v>
      </c>
      <c r="P82" s="40">
        <v>62.820650000000001</v>
      </c>
      <c r="Q82" s="40">
        <v>23.357796</v>
      </c>
      <c r="R82" s="40">
        <v>49.777340000000002</v>
      </c>
      <c r="S82" s="40">
        <v>58.933796000000001</v>
      </c>
      <c r="T82" s="40">
        <v>53.917076000000002</v>
      </c>
      <c r="U82" s="40">
        <v>70.602164999999999</v>
      </c>
      <c r="V82" s="155">
        <v>54.635370000000002</v>
      </c>
      <c r="W82" s="24"/>
    </row>
    <row r="83" spans="1:23" x14ac:dyDescent="0.35">
      <c r="A83" s="2">
        <v>44305</v>
      </c>
      <c r="B83" s="40">
        <v>46.356358</v>
      </c>
      <c r="C83" s="40">
        <v>53.634990000000002</v>
      </c>
      <c r="D83" s="40">
        <v>41.287030000000001</v>
      </c>
      <c r="E83" s="40">
        <v>20.204650000000001</v>
      </c>
      <c r="F83" s="40">
        <v>32.375059999999998</v>
      </c>
      <c r="G83" s="40">
        <v>41.519238000000001</v>
      </c>
      <c r="H83" s="40">
        <v>19.704377999999998</v>
      </c>
      <c r="I83" s="40">
        <v>77.564300000000003</v>
      </c>
      <c r="J83" s="40">
        <v>66.591790000000003</v>
      </c>
      <c r="K83" s="40">
        <v>85.392210000000006</v>
      </c>
      <c r="L83" s="40">
        <v>42.564630000000001</v>
      </c>
      <c r="M83" s="40">
        <v>82.035359999999997</v>
      </c>
      <c r="N83" s="40">
        <v>53.440918000000003</v>
      </c>
      <c r="O83" s="40">
        <v>55.46322</v>
      </c>
      <c r="P83" s="40">
        <v>38.109146000000003</v>
      </c>
      <c r="Q83" s="40">
        <v>28.443695000000002</v>
      </c>
      <c r="R83" s="40">
        <v>27.086770999999999</v>
      </c>
      <c r="S83" s="40">
        <v>16.499603</v>
      </c>
      <c r="T83" s="40">
        <v>43.795524999999998</v>
      </c>
      <c r="U83" s="40">
        <v>60.173653000000002</v>
      </c>
      <c r="V83" s="155">
        <v>55.135334</v>
      </c>
      <c r="W83" s="24"/>
    </row>
    <row r="84" spans="1:23" x14ac:dyDescent="0.35">
      <c r="A84" s="2">
        <v>44335</v>
      </c>
      <c r="B84" s="40">
        <v>48.625149999999998</v>
      </c>
      <c r="C84" s="40">
        <v>19.259274000000001</v>
      </c>
      <c r="D84" s="40">
        <v>33.143639999999998</v>
      </c>
      <c r="E84" s="40">
        <v>21.208286000000001</v>
      </c>
      <c r="F84" s="40">
        <v>44.366013000000002</v>
      </c>
      <c r="G84" s="40">
        <v>28.788233000000002</v>
      </c>
      <c r="H84" s="40">
        <v>15.400732</v>
      </c>
      <c r="I84" s="40">
        <v>64.072209999999998</v>
      </c>
      <c r="J84" s="40">
        <v>64.270874000000006</v>
      </c>
      <c r="K84" s="40">
        <v>74.74091</v>
      </c>
      <c r="L84" s="40">
        <v>63.293137000000002</v>
      </c>
      <c r="M84" s="40">
        <v>64.310199999999995</v>
      </c>
      <c r="N84" s="40">
        <v>65.432593999999995</v>
      </c>
      <c r="O84" s="40">
        <v>69.609924000000007</v>
      </c>
      <c r="P84" s="40">
        <v>29.425370999999998</v>
      </c>
      <c r="Q84" s="40">
        <v>26.698028999999998</v>
      </c>
      <c r="R84" s="40">
        <v>19.259512000000001</v>
      </c>
      <c r="S84" s="40">
        <v>13.592577</v>
      </c>
      <c r="T84" s="40">
        <v>48.919224</v>
      </c>
      <c r="U84" s="40">
        <v>45.156466999999999</v>
      </c>
      <c r="V84" s="155">
        <v>50.070414999999997</v>
      </c>
      <c r="W84" s="24"/>
    </row>
    <row r="85" spans="1:23" x14ac:dyDescent="0.35">
      <c r="A85" s="2">
        <v>44365</v>
      </c>
      <c r="B85" s="40">
        <v>40.795326000000003</v>
      </c>
      <c r="C85" s="40">
        <v>13.007365999999999</v>
      </c>
      <c r="D85" s="40">
        <v>12.653744</v>
      </c>
      <c r="E85" s="40">
        <v>13.081348</v>
      </c>
      <c r="F85" s="40">
        <v>26.716840000000001</v>
      </c>
      <c r="G85" s="40">
        <v>2.3492217000000002</v>
      </c>
      <c r="H85" s="40">
        <v>6.6312670000000002</v>
      </c>
      <c r="I85" s="40">
        <v>60.061549999999997</v>
      </c>
      <c r="J85" s="40">
        <v>48.708903999999997</v>
      </c>
      <c r="K85" s="40">
        <v>60.387504999999997</v>
      </c>
      <c r="L85" s="40">
        <v>39.690758000000002</v>
      </c>
      <c r="M85" s="40">
        <v>45.837676999999999</v>
      </c>
      <c r="N85" s="40">
        <v>44.968615999999997</v>
      </c>
      <c r="O85" s="40">
        <v>56.119</v>
      </c>
      <c r="P85" s="40">
        <v>24.482953999999999</v>
      </c>
      <c r="Q85" s="40">
        <v>17.758633</v>
      </c>
      <c r="R85" s="40">
        <v>17.480229999999999</v>
      </c>
      <c r="S85" s="40">
        <v>-2.3123621999999999</v>
      </c>
      <c r="T85" s="40">
        <v>46.688473000000002</v>
      </c>
      <c r="U85" s="40">
        <v>46.132553000000001</v>
      </c>
      <c r="V85" s="155">
        <v>46.540579999999999</v>
      </c>
      <c r="W85" s="24"/>
    </row>
    <row r="86" spans="1:23" x14ac:dyDescent="0.35">
      <c r="A86" s="2">
        <v>44396</v>
      </c>
      <c r="B86" s="40">
        <v>24.180567</v>
      </c>
      <c r="C86" s="40">
        <v>5.7460190000000004</v>
      </c>
      <c r="D86" s="40">
        <v>7.0332527000000002</v>
      </c>
      <c r="E86" s="40">
        <v>6.1730980000000004</v>
      </c>
      <c r="F86" s="40">
        <v>22.461521000000001</v>
      </c>
      <c r="G86" s="40">
        <v>-2.4475813</v>
      </c>
      <c r="H86" s="40">
        <v>-6.3444079999999996</v>
      </c>
      <c r="I86" s="40">
        <v>50.944282999999999</v>
      </c>
      <c r="J86" s="40">
        <v>52.090622000000003</v>
      </c>
      <c r="K86" s="40">
        <v>50.229680000000002</v>
      </c>
      <c r="L86" s="40">
        <v>23.491049</v>
      </c>
      <c r="M86" s="40">
        <v>27.07423</v>
      </c>
      <c r="N86" s="40">
        <v>30.391848</v>
      </c>
      <c r="O86" s="40">
        <v>39.277957999999998</v>
      </c>
      <c r="P86" s="40">
        <v>9.2480899999999995</v>
      </c>
      <c r="Q86" s="40">
        <v>13.083542</v>
      </c>
      <c r="R86" s="40">
        <v>14.447844</v>
      </c>
      <c r="S86" s="40">
        <v>-8.4207059999999991</v>
      </c>
      <c r="T86" s="40">
        <v>41.485810000000001</v>
      </c>
      <c r="U86" s="40">
        <v>29.709661000000001</v>
      </c>
      <c r="V86" s="155">
        <v>42.982100000000003</v>
      </c>
      <c r="W86" s="24"/>
    </row>
    <row r="87" spans="1:23" x14ac:dyDescent="0.35">
      <c r="A87" s="2">
        <v>44427</v>
      </c>
      <c r="B87" s="40">
        <v>15.04904</v>
      </c>
      <c r="C87" s="40">
        <v>3.6168694000000001</v>
      </c>
      <c r="D87" s="40">
        <v>6.5116525000000003</v>
      </c>
      <c r="E87" s="40">
        <v>7.7769876</v>
      </c>
      <c r="F87" s="40">
        <v>18.751204000000001</v>
      </c>
      <c r="G87" s="40">
        <v>-21.803723999999999</v>
      </c>
      <c r="H87" s="40">
        <v>-6.6163420000000004</v>
      </c>
      <c r="I87" s="40">
        <v>36.922539999999998</v>
      </c>
      <c r="J87" s="40">
        <v>44.735863000000002</v>
      </c>
      <c r="K87" s="40">
        <v>30.001639999999998</v>
      </c>
      <c r="L87" s="40">
        <v>18.10521</v>
      </c>
      <c r="M87" s="40">
        <v>30.021439999999998</v>
      </c>
      <c r="N87" s="40">
        <v>33.227336999999999</v>
      </c>
      <c r="O87" s="40">
        <v>38.522889999999997</v>
      </c>
      <c r="P87" s="40">
        <v>-8.2245880000000007</v>
      </c>
      <c r="Q87" s="40">
        <v>15.483212</v>
      </c>
      <c r="R87" s="40">
        <v>18.003772999999999</v>
      </c>
      <c r="S87" s="40">
        <v>10.904062</v>
      </c>
      <c r="T87" s="40">
        <v>38.644480000000001</v>
      </c>
      <c r="U87" s="40">
        <v>37.164642000000001</v>
      </c>
      <c r="V87" s="155">
        <v>45.570599999999999</v>
      </c>
      <c r="W87" s="24"/>
    </row>
    <row r="88" spans="1:23" x14ac:dyDescent="0.35">
      <c r="A88" s="2">
        <v>44456</v>
      </c>
      <c r="B88" s="40">
        <v>15.170859999999999</v>
      </c>
      <c r="C88" s="40">
        <v>10.405803000000001</v>
      </c>
      <c r="D88" s="40">
        <v>18.754887</v>
      </c>
      <c r="E88" s="40">
        <v>14.942169</v>
      </c>
      <c r="F88" s="40">
        <v>31.43637</v>
      </c>
      <c r="G88" s="40">
        <v>-10.078687</v>
      </c>
      <c r="H88" s="40">
        <v>0.86716413000000003</v>
      </c>
      <c r="I88" s="40">
        <v>44.198799999999999</v>
      </c>
      <c r="J88" s="40">
        <v>49.342379999999999</v>
      </c>
      <c r="K88" s="40">
        <v>26.032935999999999</v>
      </c>
      <c r="L88" s="40">
        <v>9.0863340000000008</v>
      </c>
      <c r="M88" s="40">
        <v>24.622237999999999</v>
      </c>
      <c r="N88" s="40">
        <v>34.677590000000002</v>
      </c>
      <c r="O88" s="40">
        <v>42.953240000000001</v>
      </c>
      <c r="P88" s="40">
        <v>-6.0604277</v>
      </c>
      <c r="Q88" s="40">
        <v>12.7144575</v>
      </c>
      <c r="R88" s="40">
        <v>26.568829999999998</v>
      </c>
      <c r="S88" s="40">
        <v>14.418888000000001</v>
      </c>
      <c r="T88" s="40">
        <v>43.349502999999999</v>
      </c>
      <c r="U88" s="40">
        <v>33.350203999999998</v>
      </c>
      <c r="V88" s="155">
        <v>41.36486</v>
      </c>
      <c r="W88" s="24"/>
    </row>
    <row r="89" spans="1:23" x14ac:dyDescent="0.35">
      <c r="A89" s="2">
        <v>44488</v>
      </c>
      <c r="B89" s="40">
        <v>15.971268</v>
      </c>
      <c r="C89" s="40">
        <v>2.6528119999999999</v>
      </c>
      <c r="D89" s="40">
        <v>36.057876999999998</v>
      </c>
      <c r="E89" s="40">
        <v>22.45177</v>
      </c>
      <c r="F89" s="40">
        <v>54.565193000000001</v>
      </c>
      <c r="G89" s="40">
        <v>4.1386485000000004</v>
      </c>
      <c r="H89" s="40">
        <v>3.9984107</v>
      </c>
      <c r="I89" s="40">
        <v>39.253174000000001</v>
      </c>
      <c r="J89" s="40">
        <v>46.123480000000001</v>
      </c>
      <c r="K89" s="40">
        <v>22.992218000000001</v>
      </c>
      <c r="L89" s="40">
        <v>11.267638</v>
      </c>
      <c r="M89" s="40">
        <v>38.928750000000001</v>
      </c>
      <c r="N89" s="40">
        <v>50.031886999999998</v>
      </c>
      <c r="O89" s="40">
        <v>44.381070000000001</v>
      </c>
      <c r="P89" s="40">
        <v>-5.2671614</v>
      </c>
      <c r="Q89" s="40">
        <v>19.110524999999999</v>
      </c>
      <c r="R89" s="40">
        <v>34.88232</v>
      </c>
      <c r="S89" s="40">
        <v>5.0314189999999996</v>
      </c>
      <c r="T89" s="40">
        <v>43.704258000000003</v>
      </c>
      <c r="U89" s="40">
        <v>32.742966000000003</v>
      </c>
      <c r="V89" s="155">
        <v>45.072099999999999</v>
      </c>
      <c r="W89" s="24"/>
    </row>
    <row r="90" spans="1:23" x14ac:dyDescent="0.35">
      <c r="A90" s="2">
        <v>44519</v>
      </c>
      <c r="B90" s="40">
        <v>9.4888569999999994</v>
      </c>
      <c r="C90" s="40">
        <v>-4.8045216000000002</v>
      </c>
      <c r="D90" s="40">
        <v>10.578346</v>
      </c>
      <c r="E90" s="40">
        <v>2.8109549999999999</v>
      </c>
      <c r="F90" s="40">
        <v>21.102238</v>
      </c>
      <c r="G90" s="40">
        <v>-5.2469070000000002</v>
      </c>
      <c r="H90" s="40">
        <v>-5.6959333000000001</v>
      </c>
      <c r="I90" s="40">
        <v>35.371746000000002</v>
      </c>
      <c r="J90" s="40">
        <v>18.355488000000001</v>
      </c>
      <c r="K90" s="40">
        <v>5.9485910000000004</v>
      </c>
      <c r="L90" s="40">
        <v>-9.3210110000000004</v>
      </c>
      <c r="M90" s="40">
        <v>14.905823</v>
      </c>
      <c r="N90" s="40">
        <v>29.278683000000001</v>
      </c>
      <c r="O90" s="40">
        <v>36.092449999999999</v>
      </c>
      <c r="P90" s="40">
        <v>-13.604683</v>
      </c>
      <c r="Q90" s="40">
        <v>20.452642000000001</v>
      </c>
      <c r="R90" s="40">
        <v>20.128226999999999</v>
      </c>
      <c r="S90" s="40">
        <v>-8.0660640000000008</v>
      </c>
      <c r="T90" s="40">
        <v>52.897297000000002</v>
      </c>
      <c r="U90" s="40">
        <v>31.539750000000002</v>
      </c>
      <c r="V90" s="155">
        <v>41.711880000000001</v>
      </c>
      <c r="W90" s="24"/>
    </row>
    <row r="91" spans="1:23" x14ac:dyDescent="0.35">
      <c r="A91" s="2">
        <v>44547</v>
      </c>
      <c r="B91" s="40">
        <v>7.2515130000000001</v>
      </c>
      <c r="C91" s="40">
        <v>-15.200692</v>
      </c>
      <c r="D91" s="40">
        <v>-4.1231274999999998</v>
      </c>
      <c r="E91" s="40">
        <v>-0.14543533</v>
      </c>
      <c r="F91" s="40">
        <v>3.9955497000000002</v>
      </c>
      <c r="G91" s="40">
        <v>-16.657029999999999</v>
      </c>
      <c r="H91" s="40">
        <v>-14.406656999999999</v>
      </c>
      <c r="I91" s="40">
        <v>28.138314999999999</v>
      </c>
      <c r="J91" s="40">
        <v>15.140461999999999</v>
      </c>
      <c r="K91" s="40">
        <v>-1.7744005</v>
      </c>
      <c r="L91" s="40">
        <v>-18.898499000000001</v>
      </c>
      <c r="M91" s="40">
        <v>3.8590908000000002</v>
      </c>
      <c r="N91" s="40">
        <v>4.606509</v>
      </c>
      <c r="O91" s="40">
        <v>19.244492000000001</v>
      </c>
      <c r="P91" s="40">
        <v>-22.022103999999999</v>
      </c>
      <c r="Q91" s="40">
        <v>12.227285</v>
      </c>
      <c r="R91" s="40">
        <v>10.636901999999999</v>
      </c>
      <c r="S91" s="40">
        <v>-27.646996000000001</v>
      </c>
      <c r="T91" s="40">
        <v>47.974440000000001</v>
      </c>
      <c r="U91" s="40">
        <v>23.556805000000001</v>
      </c>
      <c r="V91" s="155">
        <v>32.130768000000003</v>
      </c>
      <c r="W91" s="24"/>
    </row>
    <row r="92" spans="1:23" x14ac:dyDescent="0.35">
      <c r="A92" s="2">
        <v>44580</v>
      </c>
      <c r="B92" s="40">
        <v>-4.6998620000000004</v>
      </c>
      <c r="C92" s="40">
        <v>-15.800886999999999</v>
      </c>
      <c r="D92" s="40">
        <v>-3.1443417</v>
      </c>
      <c r="E92" s="40">
        <v>-2.0772814999999998</v>
      </c>
      <c r="F92" s="40">
        <v>15.502632</v>
      </c>
      <c r="G92" s="40">
        <v>-0.15833974000000001</v>
      </c>
      <c r="H92" s="40">
        <v>-6.0456696000000001</v>
      </c>
      <c r="I92" s="40">
        <v>18.546068000000002</v>
      </c>
      <c r="J92" s="40">
        <v>15.543056</v>
      </c>
      <c r="K92" s="40">
        <v>-16.375689999999999</v>
      </c>
      <c r="L92" s="40">
        <v>-10.975432</v>
      </c>
      <c r="M92" s="40">
        <v>12.021255500000001</v>
      </c>
      <c r="N92" s="40">
        <v>14.468527</v>
      </c>
      <c r="O92" s="40">
        <v>22.045134999999998</v>
      </c>
      <c r="P92" s="40">
        <v>-28.091759</v>
      </c>
      <c r="Q92" s="40">
        <v>18.455220000000001</v>
      </c>
      <c r="R92" s="40">
        <v>8.9091660000000008</v>
      </c>
      <c r="S92" s="40">
        <v>-23.556910999999999</v>
      </c>
      <c r="T92" s="40">
        <v>30.045593</v>
      </c>
      <c r="U92" s="40">
        <v>11.19802</v>
      </c>
      <c r="V92" s="155">
        <v>44.24324</v>
      </c>
      <c r="W92" s="24"/>
    </row>
    <row r="93" spans="1:23" x14ac:dyDescent="0.35">
      <c r="A93" s="2">
        <v>44610</v>
      </c>
      <c r="B93" s="40">
        <v>-14.038741999999999</v>
      </c>
      <c r="C93" s="40">
        <v>-16.095661</v>
      </c>
      <c r="D93" s="40">
        <v>3.6345242999999998</v>
      </c>
      <c r="E93" s="40">
        <v>7.4316740000000001</v>
      </c>
      <c r="F93" s="40">
        <v>4.3375373000000002</v>
      </c>
      <c r="G93" s="40">
        <v>-5.3696989999999998</v>
      </c>
      <c r="H93" s="40">
        <v>-0.87663530000000001</v>
      </c>
      <c r="I93" s="40">
        <v>12.893748</v>
      </c>
      <c r="J93" s="40">
        <v>22.453426</v>
      </c>
      <c r="K93" s="40">
        <v>-18.622540999999998</v>
      </c>
      <c r="L93" s="40">
        <v>1.0804533999999999</v>
      </c>
      <c r="M93" s="40">
        <v>9.0789679999999997</v>
      </c>
      <c r="N93" s="40">
        <v>22.588598000000001</v>
      </c>
      <c r="O93" s="40">
        <v>10.667752999999999</v>
      </c>
      <c r="P93" s="40">
        <v>-34.497959999999999</v>
      </c>
      <c r="Q93" s="40">
        <v>26.23893</v>
      </c>
      <c r="R93" s="40">
        <v>13.37961</v>
      </c>
      <c r="S93" s="40">
        <v>-30.141300000000001</v>
      </c>
      <c r="T93" s="40">
        <v>38.664099999999998</v>
      </c>
      <c r="U93" s="40">
        <v>9.2804789999999997</v>
      </c>
      <c r="V93" s="155">
        <v>43.234206999999998</v>
      </c>
      <c r="W93" s="24"/>
    </row>
    <row r="94" spans="1:23" x14ac:dyDescent="0.35">
      <c r="A94" s="2">
        <v>44638</v>
      </c>
      <c r="B94" s="40">
        <v>-6.6953240000000003</v>
      </c>
      <c r="C94" s="40">
        <v>-13.640374</v>
      </c>
      <c r="D94" s="40">
        <v>8.4454775000000009</v>
      </c>
      <c r="E94" s="40">
        <v>3.2805442999999999</v>
      </c>
      <c r="F94" s="40">
        <v>2.8949259999999999</v>
      </c>
      <c r="G94" s="40">
        <v>6.1538814999999998</v>
      </c>
      <c r="H94" s="40">
        <v>-2.01661</v>
      </c>
      <c r="I94" s="40">
        <v>11.143886999999999</v>
      </c>
      <c r="J94" s="40">
        <v>21.228812999999999</v>
      </c>
      <c r="K94" s="40">
        <v>-16.651768000000001</v>
      </c>
      <c r="L94" s="40">
        <v>13.234864999999999</v>
      </c>
      <c r="M94" s="40">
        <v>14.687203999999999</v>
      </c>
      <c r="N94" s="40">
        <v>2.8493284999999999</v>
      </c>
      <c r="O94" s="40">
        <v>15.307629</v>
      </c>
      <c r="P94" s="40">
        <v>-34.050415000000001</v>
      </c>
      <c r="Q94" s="40">
        <v>32.554400000000001</v>
      </c>
      <c r="R94" s="40">
        <v>6.9918870000000002</v>
      </c>
      <c r="S94" s="40">
        <v>-28.88006</v>
      </c>
      <c r="T94" s="40">
        <v>44.438040000000001</v>
      </c>
      <c r="U94" s="40">
        <v>6.3691380000000004</v>
      </c>
      <c r="V94" s="155">
        <v>40.838326000000002</v>
      </c>
      <c r="W94" s="24"/>
    </row>
    <row r="95" spans="1:23" x14ac:dyDescent="0.35">
      <c r="A95" s="2">
        <v>44670</v>
      </c>
      <c r="B95" s="40">
        <v>-12.814665</v>
      </c>
      <c r="C95" s="40">
        <v>-18.283766</v>
      </c>
      <c r="D95" s="40">
        <v>14.107322999999999</v>
      </c>
      <c r="E95" s="40">
        <v>3.1819582</v>
      </c>
      <c r="F95" s="40">
        <v>-5.0970373000000002</v>
      </c>
      <c r="G95" s="40">
        <v>4.4084669999999999</v>
      </c>
      <c r="H95" s="40">
        <v>-2.2835314000000002</v>
      </c>
      <c r="I95" s="40">
        <v>-5.1548600000000002</v>
      </c>
      <c r="J95" s="40">
        <v>17.450094</v>
      </c>
      <c r="K95" s="40">
        <v>-24.349112000000002</v>
      </c>
      <c r="L95" s="40">
        <v>15.164125</v>
      </c>
      <c r="M95" s="40">
        <v>2.0611524999999999</v>
      </c>
      <c r="N95" s="40">
        <v>4.0207148000000004</v>
      </c>
      <c r="O95" s="40">
        <v>17.239629999999998</v>
      </c>
      <c r="P95" s="40">
        <v>-36.76446</v>
      </c>
      <c r="Q95" s="40">
        <v>29.28754</v>
      </c>
      <c r="R95" s="40">
        <v>6.3946486</v>
      </c>
      <c r="S95" s="40">
        <v>4.8587559999999996</v>
      </c>
      <c r="T95" s="40">
        <v>48.447479999999999</v>
      </c>
      <c r="U95" s="40">
        <v>-8.9632330000000007</v>
      </c>
      <c r="V95" s="155">
        <v>37.519325000000002</v>
      </c>
      <c r="W95" s="24"/>
    </row>
    <row r="96" spans="1:23" x14ac:dyDescent="0.35">
      <c r="A96" s="2">
        <v>44700</v>
      </c>
      <c r="B96" s="40">
        <v>-21.356570999999999</v>
      </c>
      <c r="C96" s="40">
        <v>3.4871340000000002</v>
      </c>
      <c r="D96" s="40">
        <v>14.237488000000001</v>
      </c>
      <c r="E96" s="40">
        <v>0.98030569999999995</v>
      </c>
      <c r="F96" s="40">
        <v>-25.201511</v>
      </c>
      <c r="G96" s="40">
        <v>-9.0852149999999998</v>
      </c>
      <c r="H96" s="40">
        <v>-6.4553380000000002</v>
      </c>
      <c r="I96" s="40">
        <v>-6.5065384000000002</v>
      </c>
      <c r="J96" s="40">
        <v>9.5505239999999993</v>
      </c>
      <c r="K96" s="40">
        <v>-25.756730000000001</v>
      </c>
      <c r="L96" s="40">
        <v>-4.3861923000000003</v>
      </c>
      <c r="M96" s="40">
        <v>-8.1795270000000002</v>
      </c>
      <c r="N96" s="40">
        <v>-9.4601749999999996</v>
      </c>
      <c r="O96" s="40">
        <v>0.60219765000000003</v>
      </c>
      <c r="P96" s="40">
        <v>-37.403168000000001</v>
      </c>
      <c r="Q96" s="40">
        <v>19.755410999999999</v>
      </c>
      <c r="R96" s="40">
        <v>2.7998210000000001</v>
      </c>
      <c r="S96" s="40">
        <v>-10.209065000000001</v>
      </c>
      <c r="T96" s="40">
        <v>27.517700000000001</v>
      </c>
      <c r="U96" s="40">
        <v>-16.827190000000002</v>
      </c>
      <c r="V96" s="155">
        <v>20.541477</v>
      </c>
      <c r="W96" s="24"/>
    </row>
    <row r="97" spans="1:23" x14ac:dyDescent="0.35">
      <c r="A97" s="2">
        <v>44729</v>
      </c>
      <c r="B97" s="40">
        <v>-14.229226000000001</v>
      </c>
      <c r="C97" s="40">
        <v>-4.2332945000000004</v>
      </c>
      <c r="D97" s="40">
        <v>8.9162710000000001</v>
      </c>
      <c r="E97" s="40">
        <v>-14.616156</v>
      </c>
      <c r="F97" s="40">
        <v>-30.699359999999999</v>
      </c>
      <c r="G97" s="40">
        <v>2.2242069999999998</v>
      </c>
      <c r="H97" s="40">
        <v>-12.307877</v>
      </c>
      <c r="I97" s="40">
        <v>-15.305650999999999</v>
      </c>
      <c r="J97" s="40">
        <v>-0.18716455000000001</v>
      </c>
      <c r="K97" s="40">
        <v>-33.510444999999997</v>
      </c>
      <c r="L97" s="40">
        <v>-21.845794999999999</v>
      </c>
      <c r="M97" s="40">
        <v>-12.730043999999999</v>
      </c>
      <c r="N97" s="40">
        <v>-15.847415</v>
      </c>
      <c r="O97" s="40">
        <v>-6.9084763999999996</v>
      </c>
      <c r="P97" s="40">
        <v>-33.503979999999999</v>
      </c>
      <c r="Q97" s="40">
        <v>16.46105</v>
      </c>
      <c r="R97" s="40">
        <v>-3.6015212999999999</v>
      </c>
      <c r="S97" s="40">
        <v>-9.1908159999999999</v>
      </c>
      <c r="T97" s="40">
        <v>15.618968000000001</v>
      </c>
      <c r="U97" s="40">
        <v>-25.751888000000001</v>
      </c>
      <c r="V97" s="155">
        <v>10.196256999999999</v>
      </c>
      <c r="W97" s="24"/>
    </row>
    <row r="98" spans="1:23" x14ac:dyDescent="0.35">
      <c r="A98" s="2">
        <v>44761</v>
      </c>
      <c r="B98" s="40">
        <v>-15.772605</v>
      </c>
      <c r="C98" s="40">
        <v>-1.6819179</v>
      </c>
      <c r="D98" s="40">
        <v>13.577199</v>
      </c>
      <c r="E98" s="40">
        <v>-9.806991</v>
      </c>
      <c r="F98" s="40">
        <v>-32.052689999999998</v>
      </c>
      <c r="G98" s="40">
        <v>-4.4482470000000003</v>
      </c>
      <c r="H98" s="40">
        <v>-8.1804459999999999</v>
      </c>
      <c r="I98" s="40">
        <v>-18.308788</v>
      </c>
      <c r="J98" s="40">
        <v>0.18557309999999999</v>
      </c>
      <c r="K98" s="40">
        <v>-32.341163999999999</v>
      </c>
      <c r="L98" s="40">
        <v>-21.751331</v>
      </c>
      <c r="M98" s="40">
        <v>-9.7107890000000001</v>
      </c>
      <c r="N98" s="40">
        <v>-9.1756049999999991</v>
      </c>
      <c r="O98" s="40">
        <v>-0.96297264000000005</v>
      </c>
      <c r="P98" s="40">
        <v>-30.712281999999998</v>
      </c>
      <c r="Q98" s="40">
        <v>15.265893999999999</v>
      </c>
      <c r="R98" s="40">
        <v>-1.4511466</v>
      </c>
      <c r="S98" s="40">
        <v>-7.3682730000000003</v>
      </c>
      <c r="T98" s="40">
        <v>17.750347000000001</v>
      </c>
      <c r="U98" s="40">
        <v>-22.089314000000002</v>
      </c>
      <c r="V98" s="155">
        <v>12.249708</v>
      </c>
      <c r="W98" s="24"/>
    </row>
    <row r="99" spans="1:23" x14ac:dyDescent="0.35">
      <c r="A99" s="2">
        <v>44792</v>
      </c>
      <c r="B99" s="40">
        <v>-16.549348999999999</v>
      </c>
      <c r="C99" s="40">
        <v>2.8297424000000002</v>
      </c>
      <c r="D99" s="40">
        <v>17.277229999999999</v>
      </c>
      <c r="E99" s="40">
        <v>-3.5363435999999999</v>
      </c>
      <c r="F99" s="40">
        <v>-35.025615999999999</v>
      </c>
      <c r="G99" s="40">
        <v>15.866351</v>
      </c>
      <c r="H99" s="40">
        <v>-4.0430903000000002</v>
      </c>
      <c r="I99" s="40">
        <v>-11.020142</v>
      </c>
      <c r="J99" s="40">
        <v>0.18798113</v>
      </c>
      <c r="K99" s="40">
        <v>-27.485012000000001</v>
      </c>
      <c r="L99" s="40">
        <v>1.9624233</v>
      </c>
      <c r="M99" s="40">
        <v>-5.3073462999999999</v>
      </c>
      <c r="N99" s="40">
        <v>-6.8739949999999999</v>
      </c>
      <c r="O99" s="40">
        <v>0.71972610000000004</v>
      </c>
      <c r="P99" s="40">
        <v>-26.197797999999999</v>
      </c>
      <c r="Q99" s="40">
        <v>24.006426000000001</v>
      </c>
      <c r="R99" s="40">
        <v>5.2866099999999996</v>
      </c>
      <c r="S99" s="40">
        <v>-1.0372520000000001</v>
      </c>
      <c r="T99" s="40">
        <v>19.948090000000001</v>
      </c>
      <c r="U99" s="40">
        <v>-20.229513000000001</v>
      </c>
      <c r="V99" s="155">
        <v>13.421260999999999</v>
      </c>
      <c r="W99" s="24"/>
    </row>
    <row r="100" spans="1:23" x14ac:dyDescent="0.35">
      <c r="A100" s="2">
        <v>44823</v>
      </c>
      <c r="B100" s="40">
        <v>-22.978508000000001</v>
      </c>
      <c r="C100" s="40">
        <v>7.3916674000000002</v>
      </c>
      <c r="D100" s="40">
        <v>18.219507</v>
      </c>
      <c r="E100" s="40">
        <v>-15.658599000000001</v>
      </c>
      <c r="F100" s="40">
        <v>-43.198853</v>
      </c>
      <c r="G100" s="40">
        <v>2.5868772999999998</v>
      </c>
      <c r="H100" s="40">
        <v>-11.461717</v>
      </c>
      <c r="I100" s="40">
        <v>-23.698436999999998</v>
      </c>
      <c r="J100" s="40">
        <v>-3.4506619999999999</v>
      </c>
      <c r="K100" s="40">
        <v>-33.22307</v>
      </c>
      <c r="L100" s="40">
        <v>5.8527826999999997</v>
      </c>
      <c r="M100" s="40">
        <v>-13.491904999999999</v>
      </c>
      <c r="N100" s="40">
        <v>-15.361208</v>
      </c>
      <c r="O100" s="40">
        <v>-5.8806539999999998</v>
      </c>
      <c r="P100" s="40">
        <v>-31.916309999999999</v>
      </c>
      <c r="Q100" s="40">
        <v>14.846336000000001</v>
      </c>
      <c r="R100" s="40">
        <v>0.36416053999999998</v>
      </c>
      <c r="S100" s="40">
        <v>6.3148856000000002</v>
      </c>
      <c r="T100" s="40">
        <v>11.46406</v>
      </c>
      <c r="U100" s="40">
        <v>-27.208072999999999</v>
      </c>
      <c r="V100" s="155">
        <v>1.185751</v>
      </c>
      <c r="W100" s="24"/>
    </row>
    <row r="101" spans="1:23" x14ac:dyDescent="0.35">
      <c r="A101" s="2">
        <v>44853</v>
      </c>
      <c r="B101" s="40">
        <v>-31.092093999999999</v>
      </c>
      <c r="C101" s="40">
        <v>5.7844519999999999</v>
      </c>
      <c r="D101" s="40">
        <v>-6.2182665000000004</v>
      </c>
      <c r="E101" s="40">
        <v>-27.326737999999999</v>
      </c>
      <c r="F101" s="40">
        <v>-52.688442000000002</v>
      </c>
      <c r="G101" s="40">
        <v>-12.157572</v>
      </c>
      <c r="H101" s="40">
        <v>-21.068180000000002</v>
      </c>
      <c r="I101" s="40">
        <v>-32.07159</v>
      </c>
      <c r="J101" s="40">
        <v>-5.0154629999999996</v>
      </c>
      <c r="K101" s="40">
        <v>-37.58831</v>
      </c>
      <c r="L101" s="40">
        <v>15.846825000000001</v>
      </c>
      <c r="M101" s="40">
        <v>-23.281359999999999</v>
      </c>
      <c r="N101" s="40">
        <v>-16.498428000000001</v>
      </c>
      <c r="O101" s="40">
        <v>-13.792724</v>
      </c>
      <c r="P101" s="40">
        <v>-45.109209999999997</v>
      </c>
      <c r="Q101" s="40">
        <v>7.2011229999999999</v>
      </c>
      <c r="R101" s="40">
        <v>-2.5558352000000002</v>
      </c>
      <c r="S101" s="40">
        <v>34.296320000000001</v>
      </c>
      <c r="T101" s="40">
        <v>8.5334420000000009</v>
      </c>
      <c r="U101" s="40">
        <v>-37.690711999999998</v>
      </c>
      <c r="V101" s="155">
        <v>0.61573979999999995</v>
      </c>
      <c r="W101" s="24"/>
    </row>
    <row r="102" spans="1:23" x14ac:dyDescent="0.35">
      <c r="A102" s="2">
        <v>44883</v>
      </c>
      <c r="B102" s="40">
        <v>-26.989889999999999</v>
      </c>
      <c r="C102" s="40">
        <v>8.596921</v>
      </c>
      <c r="D102" s="40">
        <v>0.69414379999999998</v>
      </c>
      <c r="E102" s="40">
        <v>-20.895714000000002</v>
      </c>
      <c r="F102" s="40">
        <v>-30.399483</v>
      </c>
      <c r="G102" s="40">
        <v>3.4978747000000001</v>
      </c>
      <c r="H102" s="40">
        <v>-9.5567170000000008</v>
      </c>
      <c r="I102" s="40">
        <v>-25.058926</v>
      </c>
      <c r="J102" s="40">
        <v>15.556668999999999</v>
      </c>
      <c r="K102" s="40">
        <v>-24.199508999999999</v>
      </c>
      <c r="L102" s="40">
        <v>13.96203</v>
      </c>
      <c r="M102" s="40">
        <v>-4.8512936</v>
      </c>
      <c r="N102" s="40">
        <v>-6.6577789999999997</v>
      </c>
      <c r="O102" s="40">
        <v>-8.154928</v>
      </c>
      <c r="P102" s="40">
        <v>-34.650689999999997</v>
      </c>
      <c r="Q102" s="40">
        <v>2.2253036000000002</v>
      </c>
      <c r="R102" s="40">
        <v>-2.0375310999999998</v>
      </c>
      <c r="S102" s="40">
        <v>44.894362999999998</v>
      </c>
      <c r="T102" s="40">
        <v>-2.8341413000000002</v>
      </c>
      <c r="U102" s="40">
        <v>-45.146500000000003</v>
      </c>
      <c r="V102" s="155">
        <v>-4.3842673000000003</v>
      </c>
      <c r="W102" s="24"/>
    </row>
    <row r="103" spans="1:23" x14ac:dyDescent="0.35">
      <c r="A103" s="2">
        <v>44914</v>
      </c>
      <c r="B103" s="40">
        <v>-26.749414000000002</v>
      </c>
      <c r="C103" s="40">
        <v>12.676679999999999</v>
      </c>
      <c r="D103" s="40">
        <v>2.2545218</v>
      </c>
      <c r="E103" s="40">
        <v>-20.260567000000002</v>
      </c>
      <c r="F103" s="40">
        <v>-24.130307999999999</v>
      </c>
      <c r="G103" s="40">
        <v>3.7503958000000002</v>
      </c>
      <c r="H103" s="40">
        <v>-2.5756239999999999</v>
      </c>
      <c r="I103" s="40">
        <v>-25.192350000000001</v>
      </c>
      <c r="J103" s="40">
        <v>6.3294888</v>
      </c>
      <c r="K103" s="40">
        <v>-27.035433000000001</v>
      </c>
      <c r="L103" s="40">
        <v>7.3506235999999996</v>
      </c>
      <c r="M103" s="40">
        <v>-3.57396</v>
      </c>
      <c r="N103" s="40">
        <v>3.724742</v>
      </c>
      <c r="O103" s="40">
        <v>-3.2561420999999999</v>
      </c>
      <c r="P103" s="40">
        <v>-22.781658</v>
      </c>
      <c r="Q103" s="40">
        <v>-3.1891227</v>
      </c>
      <c r="R103" s="40">
        <v>-1.4332472999999999</v>
      </c>
      <c r="S103" s="40">
        <v>119.749306</v>
      </c>
      <c r="T103" s="40">
        <v>-8.9703379999999999</v>
      </c>
      <c r="U103" s="40">
        <v>-40.674232000000003</v>
      </c>
      <c r="V103" s="155">
        <v>-8.3010619999999999</v>
      </c>
      <c r="W103" s="24"/>
    </row>
    <row r="104" spans="1:23" x14ac:dyDescent="0.35">
      <c r="A104" s="2">
        <v>44945</v>
      </c>
      <c r="B104" s="40">
        <v>-16.184885000000001</v>
      </c>
      <c r="C104" s="40">
        <v>14.043212</v>
      </c>
      <c r="D104" s="40">
        <v>1.191616</v>
      </c>
      <c r="E104" s="40">
        <v>-5.8511734000000004</v>
      </c>
      <c r="F104" s="40">
        <v>-22.907834999999999</v>
      </c>
      <c r="G104" s="40">
        <v>-2.9029845999999999</v>
      </c>
      <c r="H104" s="40">
        <v>-0.99484324000000002</v>
      </c>
      <c r="I104" s="40">
        <v>-23.139804999999999</v>
      </c>
      <c r="J104" s="40">
        <v>16.253779999999999</v>
      </c>
      <c r="K104" s="40">
        <v>-17.032385000000001</v>
      </c>
      <c r="L104" s="40">
        <v>11.358822</v>
      </c>
      <c r="M104" s="40">
        <v>-4.6393930000000001</v>
      </c>
      <c r="N104" s="40">
        <v>3.2957434999999999</v>
      </c>
      <c r="O104" s="40">
        <v>-9.7260589999999993</v>
      </c>
      <c r="P104" s="40">
        <v>-13.529009</v>
      </c>
      <c r="Q104" s="40">
        <v>-11.214638000000001</v>
      </c>
      <c r="R104" s="40">
        <v>1.8236159999999999</v>
      </c>
      <c r="S104" s="40">
        <v>83.060326000000003</v>
      </c>
      <c r="T104" s="40">
        <v>-6.6405295999999998</v>
      </c>
      <c r="U104" s="40">
        <v>-34.121174000000003</v>
      </c>
      <c r="V104" s="155">
        <v>-12.111675</v>
      </c>
      <c r="W104" s="24"/>
    </row>
    <row r="105" spans="1:23" x14ac:dyDescent="0.35">
      <c r="A105" s="2">
        <v>44974</v>
      </c>
      <c r="B105" s="40">
        <v>-17.134916</v>
      </c>
      <c r="C105" s="40">
        <v>19.483543000000001</v>
      </c>
      <c r="D105" s="40">
        <v>-0.52671429999999997</v>
      </c>
      <c r="E105" s="40">
        <v>-13.951672</v>
      </c>
      <c r="F105" s="40">
        <v>-20.569873999999999</v>
      </c>
      <c r="G105" s="40">
        <v>-10.212778999999999</v>
      </c>
      <c r="H105" s="40">
        <v>-9.3491079999999993</v>
      </c>
      <c r="I105" s="40">
        <v>-19.747055</v>
      </c>
      <c r="J105" s="40">
        <v>20.157109999999999</v>
      </c>
      <c r="K105" s="40">
        <v>-15.705852999999999</v>
      </c>
      <c r="L105" s="40">
        <v>-1.7037749</v>
      </c>
      <c r="M105" s="40">
        <v>-15.999423999999999</v>
      </c>
      <c r="N105" s="40">
        <v>12.9912615</v>
      </c>
      <c r="O105" s="40">
        <v>-9.5964069999999992</v>
      </c>
      <c r="P105" s="40">
        <v>-18.287545999999999</v>
      </c>
      <c r="Q105" s="40">
        <v>-15.626269000000001</v>
      </c>
      <c r="R105" s="40">
        <v>-3.5002708</v>
      </c>
      <c r="S105" s="40">
        <v>75.531899999999993</v>
      </c>
      <c r="T105" s="40">
        <v>-9.8035755000000009</v>
      </c>
      <c r="U105" s="40">
        <v>-39.482300000000002</v>
      </c>
      <c r="V105" s="155">
        <v>-15.503292999999999</v>
      </c>
      <c r="W105" s="24"/>
    </row>
    <row r="106" spans="1:23" x14ac:dyDescent="0.35">
      <c r="A106" s="2">
        <v>45002</v>
      </c>
      <c r="B106" s="40">
        <v>-12.855757000000001</v>
      </c>
      <c r="C106" s="40">
        <v>2.0646095</v>
      </c>
      <c r="D106" s="40">
        <v>-8.3175419999999995</v>
      </c>
      <c r="E106" s="40">
        <v>-13.218992999999999</v>
      </c>
      <c r="F106" s="40">
        <v>-21.893597</v>
      </c>
      <c r="G106" s="40">
        <v>-18.391597999999998</v>
      </c>
      <c r="H106" s="40">
        <v>-14.499848999999999</v>
      </c>
      <c r="I106" s="40">
        <v>-17.988264000000001</v>
      </c>
      <c r="J106" s="40">
        <v>9.9156139999999997</v>
      </c>
      <c r="K106" s="40">
        <v>-17.013394999999999</v>
      </c>
      <c r="L106" s="40">
        <v>-12.050103999999999</v>
      </c>
      <c r="M106" s="40">
        <v>-25.604026999999999</v>
      </c>
      <c r="N106" s="40">
        <v>12.455629999999999</v>
      </c>
      <c r="O106" s="40">
        <v>-13.616925</v>
      </c>
      <c r="P106" s="40">
        <v>-8.7835789999999996</v>
      </c>
      <c r="Q106" s="40">
        <v>-24.24034</v>
      </c>
      <c r="R106" s="40">
        <v>-7.0218086</v>
      </c>
      <c r="S106" s="40">
        <v>83.974266</v>
      </c>
      <c r="T106" s="40">
        <v>-23.341846</v>
      </c>
      <c r="U106" s="40">
        <v>-36.953631999999999</v>
      </c>
      <c r="V106" s="155">
        <v>-22.194248000000002</v>
      </c>
      <c r="W106" s="24"/>
    </row>
    <row r="107" spans="1:23" x14ac:dyDescent="0.35">
      <c r="A107" s="2">
        <v>45035</v>
      </c>
      <c r="B107" s="40">
        <v>-5.1201049999999997</v>
      </c>
      <c r="C107" s="40">
        <v>11.821580000000001</v>
      </c>
      <c r="D107" s="40">
        <v>-0.65962076000000003</v>
      </c>
      <c r="E107" s="40">
        <v>-13.018077999999999</v>
      </c>
      <c r="F107" s="40">
        <v>-4.0112494999999999</v>
      </c>
      <c r="G107" s="40">
        <v>-4.2525053000000002</v>
      </c>
      <c r="H107" s="40">
        <v>-10.374755</v>
      </c>
      <c r="I107" s="40">
        <v>-9.8533810000000006</v>
      </c>
      <c r="J107" s="40">
        <v>16.199801999999998</v>
      </c>
      <c r="K107" s="40">
        <v>-8.7659059999999993</v>
      </c>
      <c r="L107" s="40">
        <v>-15.782826999999999</v>
      </c>
      <c r="M107" s="40">
        <v>-13.835549</v>
      </c>
      <c r="N107" s="40">
        <v>18.342758</v>
      </c>
      <c r="O107" s="40">
        <v>-9.8913489999999999</v>
      </c>
      <c r="P107" s="40">
        <v>-2.5065719999999998</v>
      </c>
      <c r="Q107" s="40">
        <v>-24.013566999999998</v>
      </c>
      <c r="R107" s="40">
        <v>-5.6629776999999999</v>
      </c>
      <c r="S107" s="40">
        <v>48.860596000000001</v>
      </c>
      <c r="T107" s="40">
        <v>-20.878893000000001</v>
      </c>
      <c r="U107" s="40">
        <v>-31.794727000000002</v>
      </c>
      <c r="V107" s="155">
        <v>-17.692862999999999</v>
      </c>
      <c r="W107" s="24"/>
    </row>
    <row r="108" spans="1:23" x14ac:dyDescent="0.35">
      <c r="A108" s="2">
        <v>45065</v>
      </c>
      <c r="B108" s="40">
        <v>-4.9202859999999999</v>
      </c>
      <c r="C108" s="40">
        <v>14.248858999999999</v>
      </c>
      <c r="D108" s="40">
        <v>2.1312593999999998</v>
      </c>
      <c r="E108" s="40">
        <v>-5.7808219999999997</v>
      </c>
      <c r="F108" s="40">
        <v>18.168140000000001</v>
      </c>
      <c r="G108" s="40">
        <v>8.2664600000000004</v>
      </c>
      <c r="H108" s="40">
        <v>-7.2836637</v>
      </c>
      <c r="I108" s="40">
        <v>-0.55956243999999999</v>
      </c>
      <c r="J108" s="40">
        <v>24.417793</v>
      </c>
      <c r="K108" s="40">
        <v>-4.0890335999999996</v>
      </c>
      <c r="L108" s="40">
        <v>2.6884317000000002</v>
      </c>
      <c r="M108" s="40">
        <v>-12.629986000000001</v>
      </c>
      <c r="N108" s="40">
        <v>30.626942</v>
      </c>
      <c r="O108" s="40">
        <v>0.26980639000000001</v>
      </c>
      <c r="P108" s="40">
        <v>-4.7405124000000001</v>
      </c>
      <c r="Q108" s="40">
        <v>-12.028623</v>
      </c>
      <c r="R108" s="40">
        <v>-5.6719245999999996</v>
      </c>
      <c r="S108" s="40">
        <v>47.601320000000001</v>
      </c>
      <c r="T108" s="40">
        <v>-13.176888</v>
      </c>
      <c r="U108" s="40">
        <v>-19.960367000000002</v>
      </c>
      <c r="V108" s="155">
        <v>-6.8085073999999999</v>
      </c>
      <c r="W108" s="24"/>
    </row>
    <row r="109" spans="1:23" x14ac:dyDescent="0.35">
      <c r="A109" s="2">
        <v>45093</v>
      </c>
      <c r="B109" s="40">
        <v>-12.631721000000001</v>
      </c>
      <c r="C109" s="40">
        <v>20.596551999999999</v>
      </c>
      <c r="D109" s="40">
        <v>4.499638</v>
      </c>
      <c r="E109" s="40">
        <v>-1.0934174000000001</v>
      </c>
      <c r="F109" s="40">
        <v>39.695526000000001</v>
      </c>
      <c r="G109" s="40">
        <v>16.195452</v>
      </c>
      <c r="H109" s="40">
        <v>-5.6441784000000004</v>
      </c>
      <c r="I109" s="40">
        <v>9.0195290000000004</v>
      </c>
      <c r="J109" s="40">
        <v>45.564450000000001</v>
      </c>
      <c r="K109" s="40">
        <v>13.565075</v>
      </c>
      <c r="L109" s="40">
        <v>26.068401000000001</v>
      </c>
      <c r="M109" s="40">
        <v>3.3140898000000001</v>
      </c>
      <c r="N109" s="40">
        <v>61.193992999999999</v>
      </c>
      <c r="O109" s="40">
        <v>11.140907</v>
      </c>
      <c r="P109" s="40">
        <v>-5.9237003000000001</v>
      </c>
      <c r="Q109" s="40">
        <v>-10.444521999999999</v>
      </c>
      <c r="R109" s="40">
        <v>-0.15839338</v>
      </c>
      <c r="S109" s="40">
        <v>60.525120000000001</v>
      </c>
      <c r="T109" s="40">
        <v>-6.0257616000000001</v>
      </c>
      <c r="U109" s="40">
        <v>-10.991794000000001</v>
      </c>
      <c r="V109" s="155">
        <v>0.73581934000000004</v>
      </c>
      <c r="W109" s="24"/>
    </row>
    <row r="110" spans="1:23" x14ac:dyDescent="0.35">
      <c r="A110" s="2">
        <v>45126</v>
      </c>
      <c r="B110" s="40">
        <v>-16.306723000000002</v>
      </c>
      <c r="C110" s="40">
        <v>36.236645000000003</v>
      </c>
      <c r="D110" s="40">
        <v>9.6760750000000009</v>
      </c>
      <c r="E110" s="40">
        <v>8.1115250000000003</v>
      </c>
      <c r="F110" s="40">
        <v>53.179478000000003</v>
      </c>
      <c r="G110" s="40">
        <v>36.73903</v>
      </c>
      <c r="H110" s="40">
        <v>-0.30313134000000003</v>
      </c>
      <c r="I110" s="40">
        <v>12.668286999999999</v>
      </c>
      <c r="J110" s="40">
        <v>44.005904999999998</v>
      </c>
      <c r="K110" s="40">
        <v>15.732861</v>
      </c>
      <c r="L110" s="40">
        <v>35.508026000000001</v>
      </c>
      <c r="M110" s="40">
        <v>8.3417049999999993</v>
      </c>
      <c r="N110" s="40">
        <v>78.634069999999994</v>
      </c>
      <c r="O110" s="40">
        <v>9.8047494999999998</v>
      </c>
      <c r="P110" s="40">
        <v>-11.235386</v>
      </c>
      <c r="Q110" s="40">
        <v>-9.4202100000000009</v>
      </c>
      <c r="R110" s="40">
        <v>0.20933151</v>
      </c>
      <c r="S110" s="40">
        <v>72.931434999999993</v>
      </c>
      <c r="T110" s="40">
        <v>-1.2064159000000001</v>
      </c>
      <c r="U110" s="40">
        <v>-2.953738</v>
      </c>
      <c r="V110" s="155">
        <v>1.8156886000000001</v>
      </c>
      <c r="W110" s="24"/>
    </row>
    <row r="111" spans="1:23" x14ac:dyDescent="0.35">
      <c r="A111" s="2">
        <v>45156</v>
      </c>
      <c r="B111" s="40">
        <v>-17.257904</v>
      </c>
      <c r="C111" s="40">
        <v>14.867413000000001</v>
      </c>
      <c r="D111" s="40">
        <v>-1.4765798999999999</v>
      </c>
      <c r="E111" s="40">
        <v>-8.491987</v>
      </c>
      <c r="F111" s="40">
        <v>39.957737000000002</v>
      </c>
      <c r="G111" s="40">
        <v>21.737576000000001</v>
      </c>
      <c r="H111" s="40">
        <v>-5.1371517000000004</v>
      </c>
      <c r="I111" s="40">
        <v>0.77718496000000004</v>
      </c>
      <c r="J111" s="40">
        <v>32.881798000000003</v>
      </c>
      <c r="K111" s="40">
        <v>2.2591351999999998</v>
      </c>
      <c r="L111" s="40">
        <v>5.7021975999999999</v>
      </c>
      <c r="M111" s="40">
        <v>-8.2371599999999994</v>
      </c>
      <c r="N111" s="40">
        <v>51.768208000000001</v>
      </c>
      <c r="O111" s="40">
        <v>-1.3140141999999999</v>
      </c>
      <c r="P111" s="40">
        <v>-9.0926229999999997</v>
      </c>
      <c r="Q111" s="40">
        <v>-19.564236000000001</v>
      </c>
      <c r="R111" s="40">
        <v>-7.1482239999999999</v>
      </c>
      <c r="S111" s="40">
        <v>66.40204</v>
      </c>
      <c r="T111" s="40">
        <v>-6.4977289999999996</v>
      </c>
      <c r="U111" s="40">
        <v>-8.4834759999999996</v>
      </c>
      <c r="V111" s="155">
        <v>-9.2959639999999997</v>
      </c>
      <c r="W111" s="24"/>
    </row>
    <row r="112" spans="1:23" x14ac:dyDescent="0.35">
      <c r="A112" s="2">
        <v>45188</v>
      </c>
      <c r="B112" s="40">
        <v>-10.184115</v>
      </c>
      <c r="C112" s="40">
        <v>5.8408975999999999</v>
      </c>
      <c r="D112" s="40">
        <v>-4.2696420000000002</v>
      </c>
      <c r="E112" s="40">
        <v>-4.1501403000000003</v>
      </c>
      <c r="F112" s="40">
        <v>40.760292</v>
      </c>
      <c r="G112" s="40">
        <v>25.865746000000001</v>
      </c>
      <c r="H112" s="40">
        <v>0.88472366000000002</v>
      </c>
      <c r="I112" s="40">
        <v>12.581384999999999</v>
      </c>
      <c r="J112" s="40">
        <v>34.173977000000001</v>
      </c>
      <c r="K112" s="40">
        <v>16.606987</v>
      </c>
      <c r="L112" s="40">
        <v>12.986183</v>
      </c>
      <c r="M112" s="40">
        <v>2.8620481</v>
      </c>
      <c r="N112" s="40">
        <v>50.581670000000003</v>
      </c>
      <c r="O112" s="40">
        <v>3.5011888</v>
      </c>
      <c r="P112" s="40">
        <v>-2.9498755999999999</v>
      </c>
      <c r="Q112" s="40">
        <v>-15.922307999999999</v>
      </c>
      <c r="R112" s="40">
        <v>-6.6567780000000001</v>
      </c>
      <c r="S112" s="40">
        <v>65.855009999999993</v>
      </c>
      <c r="T112" s="40">
        <v>-4.0358359999999998</v>
      </c>
      <c r="U112" s="40">
        <v>3.3275008000000001</v>
      </c>
      <c r="V112" s="155">
        <v>-3.3589183999999999</v>
      </c>
      <c r="W112" s="24"/>
    </row>
    <row r="113" spans="1:23" x14ac:dyDescent="0.35">
      <c r="A113" s="2">
        <v>45218</v>
      </c>
      <c r="B113" s="40">
        <v>-8.4108769999999993</v>
      </c>
      <c r="C113" s="40">
        <v>9.3100909999999999</v>
      </c>
      <c r="D113" s="40">
        <v>-5.3442660000000002</v>
      </c>
      <c r="E113" s="40">
        <v>6.2026260000000004</v>
      </c>
      <c r="F113" s="40">
        <v>74.567830000000001</v>
      </c>
      <c r="G113" s="40">
        <v>21.009457000000001</v>
      </c>
      <c r="H113" s="40">
        <v>5.0347090000000003</v>
      </c>
      <c r="I113" s="40">
        <v>27.501560000000001</v>
      </c>
      <c r="J113" s="40">
        <v>20.004390000000001</v>
      </c>
      <c r="K113" s="40">
        <v>17.862665</v>
      </c>
      <c r="L113" s="40">
        <v>2.8238297000000001</v>
      </c>
      <c r="M113" s="40">
        <v>4.6775580000000003</v>
      </c>
      <c r="N113" s="40">
        <v>47.615124000000002</v>
      </c>
      <c r="O113" s="40">
        <v>9.0178010000000004</v>
      </c>
      <c r="P113" s="40">
        <v>8.6273909999999994</v>
      </c>
      <c r="Q113" s="40">
        <v>-18.842804000000001</v>
      </c>
      <c r="R113" s="40">
        <v>-10.428518</v>
      </c>
      <c r="S113" s="40">
        <v>35.28266</v>
      </c>
      <c r="T113" s="40">
        <v>-5.5377364</v>
      </c>
      <c r="U113" s="40">
        <v>2.0956635000000001</v>
      </c>
      <c r="V113" s="155">
        <v>-11.255508000000001</v>
      </c>
      <c r="W113" s="24"/>
    </row>
    <row r="114" spans="1:23" x14ac:dyDescent="0.35">
      <c r="A114" s="2">
        <v>45247</v>
      </c>
      <c r="B114" s="40">
        <v>-8.5288105000000005</v>
      </c>
      <c r="C114" s="40">
        <v>9.3501569999999994</v>
      </c>
      <c r="D114" s="40">
        <v>-2.6990829999999999</v>
      </c>
      <c r="E114" s="40">
        <v>0.79057217000000002</v>
      </c>
      <c r="F114" s="40">
        <v>51.022039999999997</v>
      </c>
      <c r="G114" s="40">
        <v>9.4885459999999995</v>
      </c>
      <c r="H114" s="40">
        <v>1.7932773</v>
      </c>
      <c r="I114" s="40">
        <v>16.293811999999999</v>
      </c>
      <c r="J114" s="40">
        <v>19.712437000000001</v>
      </c>
      <c r="K114" s="40">
        <v>9.2151639999999997</v>
      </c>
      <c r="L114" s="40">
        <v>25.270403000000002</v>
      </c>
      <c r="M114" s="40">
        <v>-4.2797090000000004</v>
      </c>
      <c r="N114" s="40">
        <v>49.234188000000003</v>
      </c>
      <c r="O114" s="40">
        <v>5.1006080000000003</v>
      </c>
      <c r="P114" s="40">
        <v>-2.1634161000000001</v>
      </c>
      <c r="Q114" s="40">
        <v>-11.859667</v>
      </c>
      <c r="R114" s="40">
        <v>-12.332886999999999</v>
      </c>
      <c r="S114" s="40">
        <v>22.881817000000002</v>
      </c>
      <c r="T114" s="40">
        <v>-1.0112285999999999</v>
      </c>
      <c r="U114" s="40">
        <v>15.271210999999999</v>
      </c>
      <c r="V114" s="155">
        <v>-0.45921803</v>
      </c>
      <c r="W114" s="24"/>
    </row>
    <row r="115" spans="1:23" x14ac:dyDescent="0.35">
      <c r="A115" s="2">
        <v>45279</v>
      </c>
      <c r="B115" s="40">
        <v>-14.804631000000001</v>
      </c>
      <c r="C115" s="40">
        <v>15.263748</v>
      </c>
      <c r="D115" s="40">
        <v>-0.79815389999999997</v>
      </c>
      <c r="E115" s="40">
        <v>2.991581</v>
      </c>
      <c r="F115" s="40">
        <v>57.972969999999997</v>
      </c>
      <c r="G115" s="40">
        <v>28.324116</v>
      </c>
      <c r="H115" s="40">
        <v>-2.1888614</v>
      </c>
      <c r="I115" s="40">
        <v>21.252144000000001</v>
      </c>
      <c r="J115" s="40">
        <v>38.354419999999998</v>
      </c>
      <c r="K115" s="40">
        <v>14.580762999999999</v>
      </c>
      <c r="L115" s="40">
        <v>36.427413999999999</v>
      </c>
      <c r="M115" s="40">
        <v>2.4807453E-2</v>
      </c>
      <c r="N115" s="40">
        <v>46.801803999999997</v>
      </c>
      <c r="O115" s="40">
        <v>14.798117</v>
      </c>
      <c r="P115" s="40">
        <v>-11.125826999999999</v>
      </c>
      <c r="Q115" s="40">
        <v>-3.6385953</v>
      </c>
      <c r="R115" s="40">
        <v>-13.79928</v>
      </c>
      <c r="S115" s="40">
        <v>-3.0662894000000001</v>
      </c>
      <c r="T115" s="40">
        <v>-1.9935309999999999</v>
      </c>
      <c r="U115" s="40">
        <v>8.4389099999999999</v>
      </c>
      <c r="V115" s="155">
        <v>15.847492000000001</v>
      </c>
      <c r="W115" s="24"/>
    </row>
    <row r="116" spans="1:23" x14ac:dyDescent="0.35">
      <c r="A116" s="2">
        <v>45310</v>
      </c>
      <c r="B116" s="40">
        <v>-25.805658000000001</v>
      </c>
      <c r="C116" s="40">
        <v>-1.6336918</v>
      </c>
      <c r="D116" s="40">
        <v>0.23581982000000001</v>
      </c>
      <c r="E116" s="40">
        <v>-7.5094104000000002</v>
      </c>
      <c r="F116" s="40">
        <v>32.276269999999997</v>
      </c>
      <c r="G116" s="40">
        <v>10.849667</v>
      </c>
      <c r="H116" s="40">
        <v>-7.7621339999999996</v>
      </c>
      <c r="I116" s="40">
        <v>14.883946999999999</v>
      </c>
      <c r="J116" s="40">
        <v>18.933212000000001</v>
      </c>
      <c r="K116" s="40">
        <v>-2.1874547</v>
      </c>
      <c r="L116" s="40">
        <v>18.52833</v>
      </c>
      <c r="M116" s="40">
        <v>-13.781661</v>
      </c>
      <c r="N116" s="40">
        <v>38.625549999999997</v>
      </c>
      <c r="O116" s="40">
        <v>16.875575999999999</v>
      </c>
      <c r="P116" s="40">
        <v>-28.377569999999999</v>
      </c>
      <c r="Q116" s="40">
        <v>-2.4542391000000001</v>
      </c>
      <c r="R116" s="40">
        <v>-18.121029</v>
      </c>
      <c r="S116" s="40">
        <v>-3.2566069999999998</v>
      </c>
      <c r="T116" s="40">
        <v>2.7045012000000002</v>
      </c>
      <c r="U116" s="40">
        <v>5.7672860000000004</v>
      </c>
      <c r="V116" s="155">
        <v>11.753094000000001</v>
      </c>
      <c r="W116" s="24"/>
    </row>
    <row r="117" spans="1:23" x14ac:dyDescent="0.35">
      <c r="A117" s="2">
        <v>45338</v>
      </c>
      <c r="B117" s="40">
        <v>-20.162856999999999</v>
      </c>
      <c r="C117" s="40">
        <v>-10.525054000000001</v>
      </c>
      <c r="D117" s="40">
        <v>0.46856403000000002</v>
      </c>
      <c r="E117" s="40">
        <v>0.9768367</v>
      </c>
      <c r="F117" s="40">
        <v>47.042392999999997</v>
      </c>
      <c r="G117" s="40">
        <v>23.350216</v>
      </c>
      <c r="H117" s="40">
        <v>-2.5397419999999999</v>
      </c>
      <c r="I117" s="40">
        <v>17.148792</v>
      </c>
      <c r="J117" s="40">
        <v>18.086646999999999</v>
      </c>
      <c r="K117" s="40">
        <v>7.1912289999999999</v>
      </c>
      <c r="L117" s="40">
        <v>22.726261000000001</v>
      </c>
      <c r="M117" s="40">
        <v>-7.3697749999999997</v>
      </c>
      <c r="N117" s="40">
        <v>28.834247999999999</v>
      </c>
      <c r="O117" s="40">
        <v>26.784110999999999</v>
      </c>
      <c r="P117" s="40">
        <v>-21.687370000000001</v>
      </c>
      <c r="Q117" s="40">
        <v>-1.0752678</v>
      </c>
      <c r="R117" s="40">
        <v>-16.004414000000001</v>
      </c>
      <c r="S117" s="40">
        <v>18.232165999999999</v>
      </c>
      <c r="T117" s="40">
        <v>3.670156</v>
      </c>
      <c r="U117" s="40">
        <v>15.720473999999999</v>
      </c>
      <c r="V117" s="155">
        <v>20.104195000000001</v>
      </c>
      <c r="W117" s="24"/>
    </row>
    <row r="118" spans="1:23" x14ac:dyDescent="0.35">
      <c r="A118" s="2">
        <v>45370</v>
      </c>
      <c r="B118" s="40">
        <v>-12.091559</v>
      </c>
      <c r="C118" s="40">
        <v>2.8924227</v>
      </c>
      <c r="D118" s="40">
        <v>6.4064503000000004</v>
      </c>
      <c r="E118" s="40">
        <v>7.3079824000000002</v>
      </c>
      <c r="F118" s="40">
        <v>62.979529999999997</v>
      </c>
      <c r="G118" s="40">
        <v>40.606262000000001</v>
      </c>
      <c r="H118" s="40">
        <v>6.3247799999999996</v>
      </c>
      <c r="I118" s="40">
        <v>24.886203999999999</v>
      </c>
      <c r="J118" s="40">
        <v>23.788333999999999</v>
      </c>
      <c r="K118" s="40">
        <v>14.842307999999999</v>
      </c>
      <c r="L118" s="40">
        <v>29.095448000000001</v>
      </c>
      <c r="M118" s="40">
        <v>-1.2266338000000001</v>
      </c>
      <c r="N118" s="40">
        <v>42.102286999999997</v>
      </c>
      <c r="O118" s="40">
        <v>30.888058000000001</v>
      </c>
      <c r="P118" s="40">
        <v>-11.8726845</v>
      </c>
      <c r="Q118" s="40">
        <v>8.1431869999999993</v>
      </c>
      <c r="R118" s="40">
        <v>-11.58877</v>
      </c>
      <c r="S118" s="40">
        <v>5.0836205000000003</v>
      </c>
      <c r="T118" s="40">
        <v>12.592898999999999</v>
      </c>
      <c r="U118" s="40">
        <v>21.487272000000001</v>
      </c>
      <c r="V118" s="155">
        <v>27.515865000000002</v>
      </c>
      <c r="W118" s="24"/>
    </row>
    <row r="119" spans="1:23" x14ac:dyDescent="0.35">
      <c r="A119" s="2">
        <v>45401</v>
      </c>
      <c r="B119" s="40">
        <v>-17.283148000000001</v>
      </c>
      <c r="C119" s="40">
        <v>-5.8852434000000002</v>
      </c>
      <c r="D119" s="40">
        <v>-10.007084000000001</v>
      </c>
      <c r="E119" s="40">
        <v>-1.6949713</v>
      </c>
      <c r="F119" s="40">
        <v>40.54712</v>
      </c>
      <c r="G119" s="40">
        <v>32.574523999999997</v>
      </c>
      <c r="H119" s="40">
        <v>2.1994590000000001</v>
      </c>
      <c r="I119" s="40">
        <v>16.209126000000001</v>
      </c>
      <c r="J119" s="40">
        <v>11.299811999999999</v>
      </c>
      <c r="K119" s="40">
        <v>0.90432170000000001</v>
      </c>
      <c r="L119" s="40">
        <v>17.511213000000001</v>
      </c>
      <c r="M119" s="40">
        <v>-8.2062539999999995</v>
      </c>
      <c r="N119" s="40">
        <v>24.949337</v>
      </c>
      <c r="O119" s="40">
        <v>29.181349000000001</v>
      </c>
      <c r="P119" s="40">
        <v>-17.003792000000001</v>
      </c>
      <c r="Q119" s="40">
        <v>1.0833979</v>
      </c>
      <c r="R119" s="40">
        <v>-15.730077</v>
      </c>
      <c r="S119" s="40">
        <v>17.936551999999999</v>
      </c>
      <c r="T119" s="40">
        <v>1.6997694999999999</v>
      </c>
      <c r="U119" s="40">
        <v>4.4703125999999997</v>
      </c>
      <c r="V119" s="155">
        <v>9.1756460000000004</v>
      </c>
      <c r="W119" s="24"/>
    </row>
    <row r="120" spans="1:23" x14ac:dyDescent="0.35">
      <c r="A120" s="2">
        <v>45429</v>
      </c>
      <c r="B120" s="40">
        <v>-8.1560369999999995</v>
      </c>
      <c r="C120" s="40">
        <v>2.3447155999999998</v>
      </c>
      <c r="D120" s="40">
        <v>-6.8138240000000003</v>
      </c>
      <c r="E120" s="40">
        <v>7.1144104E-2</v>
      </c>
      <c r="F120" s="40">
        <v>50.26088</v>
      </c>
      <c r="G120" s="40">
        <v>50.204265999999997</v>
      </c>
      <c r="H120" s="40">
        <v>11.666893999999999</v>
      </c>
      <c r="I120" s="40">
        <v>27.451312999999999</v>
      </c>
      <c r="J120" s="40">
        <v>13.139701000000001</v>
      </c>
      <c r="K120" s="40">
        <v>10.607994</v>
      </c>
      <c r="L120" s="40">
        <v>12.387657000000001</v>
      </c>
      <c r="M120" s="40">
        <v>14.394975000000001</v>
      </c>
      <c r="N120" s="40">
        <v>36.083399999999997</v>
      </c>
      <c r="O120" s="40">
        <v>28.717434000000001</v>
      </c>
      <c r="P120" s="40">
        <v>3.9025783999999999</v>
      </c>
      <c r="Q120" s="40">
        <v>-6.6791176999999999</v>
      </c>
      <c r="R120" s="40">
        <v>-9.1978910000000003</v>
      </c>
      <c r="S120" s="40">
        <v>47.153174999999997</v>
      </c>
      <c r="T120" s="40">
        <v>1.4183520999999999</v>
      </c>
      <c r="U120" s="40">
        <v>10.652267</v>
      </c>
      <c r="V120" s="155">
        <v>5.5571555999999998</v>
      </c>
      <c r="W120" s="24"/>
    </row>
    <row r="121" spans="1:23" x14ac:dyDescent="0.35">
      <c r="A121" s="2">
        <v>45461</v>
      </c>
      <c r="B121" s="40">
        <v>-10.027003000000001</v>
      </c>
      <c r="C121" s="40">
        <v>-7.1287750000000001</v>
      </c>
      <c r="D121" s="40">
        <v>-17.362946000000001</v>
      </c>
      <c r="E121" s="40">
        <v>-4.3907046000000003</v>
      </c>
      <c r="F121" s="40">
        <v>27.583838</v>
      </c>
      <c r="G121" s="40">
        <v>34.167160000000003</v>
      </c>
      <c r="H121" s="40">
        <v>16.049122000000001</v>
      </c>
      <c r="I121" s="40">
        <v>26.662779</v>
      </c>
      <c r="J121" s="40">
        <v>-9.2810810000000004</v>
      </c>
      <c r="K121" s="40">
        <v>1.3036490000000001</v>
      </c>
      <c r="L121" s="40">
        <v>-10.400325</v>
      </c>
      <c r="M121" s="40">
        <v>7.4135900000000001</v>
      </c>
      <c r="N121" s="40">
        <v>11.889315</v>
      </c>
      <c r="O121" s="40">
        <v>28.703917000000001</v>
      </c>
      <c r="P121" s="40">
        <v>-5.9024039999999998</v>
      </c>
      <c r="Q121" s="40">
        <v>-4.0882170000000002</v>
      </c>
      <c r="R121" s="40">
        <v>-16.256464000000001</v>
      </c>
      <c r="S121" s="40">
        <v>45.839202999999998</v>
      </c>
      <c r="T121" s="40">
        <v>-3.0721962</v>
      </c>
      <c r="U121" s="40">
        <v>2.0672798000000001</v>
      </c>
      <c r="V121" s="155">
        <v>1.2025595</v>
      </c>
      <c r="W121" s="24"/>
    </row>
    <row r="122" spans="1:23" x14ac:dyDescent="0.35">
      <c r="A122" s="2">
        <v>45492</v>
      </c>
      <c r="B122">
        <v>-8.3124640000000003</v>
      </c>
      <c r="C122">
        <v>-15.253234000000001</v>
      </c>
      <c r="D122">
        <v>-10.459631999999999</v>
      </c>
      <c r="E122">
        <v>-2.3889960000000001</v>
      </c>
      <c r="F122">
        <v>21.956121</v>
      </c>
      <c r="G122">
        <v>30.460249999999998</v>
      </c>
      <c r="H122">
        <v>15.061892</v>
      </c>
      <c r="I122">
        <v>24.253643</v>
      </c>
      <c r="J122">
        <v>-6.2008200000000002</v>
      </c>
      <c r="K122">
        <v>-0.27382373999999998</v>
      </c>
      <c r="L122">
        <v>-7.1442009999999998</v>
      </c>
      <c r="M122">
        <v>3.7487507</v>
      </c>
      <c r="N122">
        <v>9.5430849999999996</v>
      </c>
      <c r="O122">
        <v>25.823069</v>
      </c>
      <c r="P122">
        <v>-5.1029150000000003</v>
      </c>
      <c r="Q122">
        <v>-1.6267061</v>
      </c>
      <c r="R122">
        <v>-14.284414</v>
      </c>
      <c r="S122">
        <v>43.583213999999998</v>
      </c>
      <c r="T122">
        <v>-0.40897129999999998</v>
      </c>
      <c r="U122">
        <v>-8.9861810000000002</v>
      </c>
      <c r="V122" s="1">
        <v>2.3836135999999999</v>
      </c>
    </row>
    <row r="123" spans="1:23" x14ac:dyDescent="0.35">
      <c r="A123" s="2"/>
    </row>
    <row r="124" spans="1:23" x14ac:dyDescent="0.35">
      <c r="A124" s="2"/>
    </row>
    <row r="125" spans="1:23" x14ac:dyDescent="0.35">
      <c r="A125" s="2"/>
    </row>
    <row r="126" spans="1:23" x14ac:dyDescent="0.35">
      <c r="A126" s="2" t="s">
        <v>85</v>
      </c>
      <c r="B126" s="40" cm="1">
        <f t="array" ref="B126">MIN(_xlfn._xlws.FILTER(B2:B122, ISNUMBER(B2:B122)))</f>
        <v>-31.092093999999999</v>
      </c>
      <c r="C126" s="40" cm="1">
        <f t="array" ref="C126">MIN(_xlfn._xlws.FILTER(C2:C122, ISNUMBER(C2:C122)))</f>
        <v>-55.930720000000001</v>
      </c>
      <c r="D126" s="40" cm="1">
        <f t="array" ref="D126">MIN(_xlfn._xlws.FILTER(D2:D122, ISNUMBER(D2:D122)))</f>
        <v>-48.215229999999998</v>
      </c>
      <c r="E126" s="40" cm="1">
        <f t="array" ref="E126">MIN(_xlfn._xlws.FILTER(E2:E122, ISNUMBER(E2:E122)))</f>
        <v>-41.61412</v>
      </c>
      <c r="F126" s="40" cm="1">
        <f t="array" ref="F126">MIN(_xlfn._xlws.FILTER(F2:F122, ISNUMBER(F2:F122)))</f>
        <v>-52.688442000000002</v>
      </c>
      <c r="G126" s="40" cm="1">
        <f t="array" ref="G126">MIN(_xlfn._xlws.FILTER(G2:G122, ISNUMBER(G2:G122)))</f>
        <v>-42.311050000000002</v>
      </c>
      <c r="H126" s="40" cm="1">
        <f t="array" ref="H126">MIN(_xlfn._xlws.FILTER(H2:H122, ISNUMBER(H2:H122)))</f>
        <v>-35.958331999999999</v>
      </c>
      <c r="I126" s="40" cm="1">
        <f t="array" ref="I126">MIN(_xlfn._xlws.FILTER(I2:I122, ISNUMBER(I2:I122)))</f>
        <v>-32.07159</v>
      </c>
      <c r="J126" s="40" cm="1">
        <f t="array" ref="J126">MIN(_xlfn._xlws.FILTER(J2:J122, ISNUMBER(J2:J122)))</f>
        <v>-38.409424000000001</v>
      </c>
      <c r="K126" s="40" cm="1">
        <f t="array" ref="K126">MIN(_xlfn._xlws.FILTER(K2:K122, ISNUMBER(K2:K122)))</f>
        <v>-37.58831</v>
      </c>
      <c r="L126" s="40" cm="1">
        <f t="array" ref="L126">MIN(_xlfn._xlws.FILTER(L2:L122, ISNUMBER(L2:L122)))</f>
        <v>-51.555329999999998</v>
      </c>
      <c r="M126" s="40" cm="1">
        <f t="array" ref="M126">MIN(_xlfn._xlws.FILTER(M2:M122, ISNUMBER(M2:M122)))</f>
        <v>-45.235664</v>
      </c>
      <c r="N126" s="40" cm="1">
        <f t="array" ref="N126">MIN(_xlfn._xlws.FILTER(N2:N122, ISNUMBER(N2:N122)))</f>
        <v>-59.025706999999997</v>
      </c>
      <c r="O126" s="40" cm="1">
        <f t="array" ref="O126">MIN(_xlfn._xlws.FILTER(O2:O122, ISNUMBER(O2:O122)))</f>
        <v>-34.897069999999999</v>
      </c>
      <c r="P126" s="40" cm="1">
        <f t="array" ref="P126">MIN(_xlfn._xlws.FILTER(P2:P122, ISNUMBER(P2:P122)))</f>
        <v>-45.109209999999997</v>
      </c>
      <c r="Q126" s="40" cm="1">
        <f t="array" ref="Q126">MIN(_xlfn._xlws.FILTER(Q2:Q122, ISNUMBER(Q2:Q122)))</f>
        <v>-27.174811999999999</v>
      </c>
      <c r="R126" s="40" cm="1">
        <f t="array" ref="R126">MIN(_xlfn._xlws.FILTER(R2:R122, ISNUMBER(R2:R122)))</f>
        <v>-35.942805999999997</v>
      </c>
      <c r="S126" s="40" cm="1">
        <f t="array" ref="S126">MIN(_xlfn._xlws.FILTER(S2:S122, ISNUMBER(S2:S122)))</f>
        <v>-49.546210000000002</v>
      </c>
      <c r="T126" s="40" cm="1">
        <f t="array" ref="T126">MIN(_xlfn._xlws.FILTER(T2:T122, ISNUMBER(T2:T122)))</f>
        <v>-35.05789</v>
      </c>
      <c r="U126" s="40" cm="1">
        <f t="array" ref="U126">MIN(_xlfn._xlws.FILTER(U2:U122, ISNUMBER(U2:U122)))</f>
        <v>-45.146500000000003</v>
      </c>
      <c r="V126" s="155" cm="1">
        <f t="array" ref="V126">MIN(_xlfn._xlws.FILTER(V2:V122, ISNUMBER(V2:V122)))</f>
        <v>-29.125332</v>
      </c>
      <c r="W126" s="24"/>
    </row>
    <row r="127" spans="1:23" x14ac:dyDescent="0.35">
      <c r="A127" s="2" t="s">
        <v>396</v>
      </c>
      <c r="B127" s="42" cm="1">
        <f t="array" ref="B127">MAX(_xlfn._xlws.FILTER(B1:B122, ISNUMBER(B1:B122)))</f>
        <v>60.028458000000001</v>
      </c>
      <c r="C127" s="42" cm="1">
        <f t="array" ref="C127">MAX(_xlfn._xlws.FILTER(C1:C122, ISNUMBER(C1:C122)))</f>
        <v>82.31756</v>
      </c>
      <c r="D127" s="42" cm="1">
        <f t="array" ref="D127">MAX(_xlfn._xlws.FILTER(D1:D122, ISNUMBER(D1:D122)))</f>
        <v>78.627219999999994</v>
      </c>
      <c r="E127" s="42" cm="1">
        <f t="array" ref="E127">MAX(_xlfn._xlws.FILTER(E1:E122, ISNUMBER(E1:E122)))</f>
        <v>51.17606</v>
      </c>
      <c r="F127" s="42" cm="1">
        <f t="array" ref="F127">MAX(_xlfn._xlws.FILTER(F1:F122, ISNUMBER(F1:F122)))</f>
        <v>74.567830000000001</v>
      </c>
      <c r="G127" s="42" cm="1">
        <f t="array" ref="G127">MAX(_xlfn._xlws.FILTER(G1:G122, ISNUMBER(G1:G122)))</f>
        <v>89.824200000000005</v>
      </c>
      <c r="H127" s="42" cm="1">
        <f t="array" ref="H127">MAX(_xlfn._xlws.FILTER(H1:H122, ISNUMBER(H1:H122)))</f>
        <v>49.730277999999998</v>
      </c>
      <c r="I127" s="42" cm="1">
        <f t="array" ref="I127">MAX(_xlfn._xlws.FILTER(I1:I122, ISNUMBER(I1:I122)))</f>
        <v>101.02863000000001</v>
      </c>
      <c r="J127" s="42" cm="1">
        <f t="array" ref="J127">MAX(_xlfn._xlws.FILTER(J1:J122, ISNUMBER(J1:J122)))</f>
        <v>66.591790000000003</v>
      </c>
      <c r="K127" s="42" cm="1">
        <f t="array" ref="K127">MAX(_xlfn._xlws.FILTER(K1:K122, ISNUMBER(K1:K122)))</f>
        <v>129.66311999999999</v>
      </c>
      <c r="L127" s="42" cm="1">
        <f t="array" ref="L127">MAX(_xlfn._xlws.FILTER(L1:L122, ISNUMBER(L1:L122)))</f>
        <v>102.19020999999999</v>
      </c>
      <c r="M127" s="42" cm="1">
        <f t="array" ref="M127">MAX(_xlfn._xlws.FILTER(M1:M122, ISNUMBER(M1:M122)))</f>
        <v>101.73480000000001</v>
      </c>
      <c r="N127" s="42" cm="1">
        <f t="array" ref="N127">MAX(_xlfn._xlws.FILTER(N1:N122, ISNUMBER(N1:N122)))</f>
        <v>78.634069999999994</v>
      </c>
      <c r="O127" s="42" cm="1">
        <f t="array" ref="O127">MAX(_xlfn._xlws.FILTER(O1:O122, ISNUMBER(O1:O122)))</f>
        <v>86.80265</v>
      </c>
      <c r="P127" s="42" cm="1">
        <f t="array" ref="P127">MAX(_xlfn._xlws.FILTER(P1:P122, ISNUMBER(P1:P122)))</f>
        <v>62.820650000000001</v>
      </c>
      <c r="Q127" s="42" cm="1">
        <f t="array" ref="Q127">MAX(_xlfn._xlws.FILTER(Q1:Q122, ISNUMBER(Q1:Q122)))</f>
        <v>46.681179999999998</v>
      </c>
      <c r="R127" s="42" cm="1">
        <f t="array" ref="R127">MAX(_xlfn._xlws.FILTER(R1:R122, ISNUMBER(R1:R122)))</f>
        <v>49.777340000000002</v>
      </c>
      <c r="S127" s="42" cm="1">
        <f t="array" ref="S127">MAX(_xlfn._xlws.FILTER(S1:S122, ISNUMBER(S1:S122)))</f>
        <v>119.749306</v>
      </c>
      <c r="T127" s="42" cm="1">
        <f t="array" ref="T127">MAX(_xlfn._xlws.FILTER(T1:T122, ISNUMBER(T1:T122)))</f>
        <v>53.917076000000002</v>
      </c>
      <c r="U127" s="42" cm="1">
        <f t="array" ref="U127">MAX(_xlfn._xlws.FILTER(U1:U122, ISNUMBER(U1:U122)))</f>
        <v>70.602164999999999</v>
      </c>
      <c r="V127" s="156" cm="1">
        <f t="array" ref="V127">MAX(_xlfn._xlws.FILTER(V1:V122, ISNUMBER(V1:V122)))</f>
        <v>55.135334</v>
      </c>
    </row>
    <row r="128" spans="1:23" x14ac:dyDescent="0.35">
      <c r="A128" s="2" t="s">
        <v>397</v>
      </c>
      <c r="B128" s="40" cm="1">
        <f t="array" ref="B128">MEDIAN(_xlfn._xlws.FILTER(B1:B122, ISNUMBER(B1:B122)))</f>
        <v>-3.4023821500000002</v>
      </c>
      <c r="C128" s="40" cm="1">
        <f t="array" ref="C128">MEDIAN(_xlfn._xlws.FILTER(C1:C122, ISNUMBER(C1:C122)))</f>
        <v>-4.3047009999999997</v>
      </c>
      <c r="D128" s="40" cm="1">
        <f t="array" ref="D128">MEDIAN(_xlfn._xlws.FILTER(D1:D122, ISNUMBER(D1:D122)))</f>
        <v>0.46856403000000002</v>
      </c>
      <c r="E128" s="40" cm="1">
        <f t="array" ref="E128">MEDIAN(_xlfn._xlws.FILTER(E1:E122, ISNUMBER(E1:E122)))</f>
        <v>-1.5453458</v>
      </c>
      <c r="F128" s="40" cm="1">
        <f t="array" ref="F128">MEDIAN(_xlfn._xlws.FILTER(F1:F122, ISNUMBER(F1:F122)))</f>
        <v>-7.8453064000000001</v>
      </c>
      <c r="G128" s="40" cm="1">
        <f t="array" ref="G128">MEDIAN(_xlfn._xlws.FILTER(G1:G122, ISNUMBER(G1:G122)))</f>
        <v>2.2242069999999998</v>
      </c>
      <c r="H128" s="40" cm="1">
        <f t="array" ref="H128">MEDIAN(_xlfn._xlws.FILTER(H1:H122, ISNUMBER(H1:H122)))</f>
        <v>-3.5265982</v>
      </c>
      <c r="I128" s="40" cm="1">
        <f t="array" ref="I128">MEDIAN(_xlfn._xlws.FILTER(I1:I122, ISNUMBER(I1:I122)))</f>
        <v>14.134848</v>
      </c>
      <c r="J128" s="40" cm="1">
        <f t="array" ref="J128">MEDIAN(_xlfn._xlws.FILTER(J1:J122, ISNUMBER(J1:J122)))</f>
        <v>-2.1742940000000002</v>
      </c>
      <c r="K128" s="40" cm="1">
        <f t="array" ref="K128">MEDIAN(_xlfn._xlws.FILTER(K1:K122, ISNUMBER(K1:K122)))</f>
        <v>-0.31349062999999999</v>
      </c>
      <c r="L128" s="40" cm="1">
        <f t="array" ref="L128">MEDIAN(_xlfn._xlws.FILTER(L1:L122, ISNUMBER(L1:L122)))</f>
        <v>2.9143333</v>
      </c>
      <c r="M128" s="40" cm="1">
        <f t="array" ref="M128">MEDIAN(_xlfn._xlws.FILTER(M1:M122, ISNUMBER(M1:M122)))</f>
        <v>-0.80087779999999997</v>
      </c>
      <c r="N128" s="40" cm="1">
        <f t="array" ref="N128">MEDIAN(_xlfn._xlws.FILTER(N1:N122, ISNUMBER(N1:N122)))</f>
        <v>2.8493284999999999</v>
      </c>
      <c r="O128" s="40" cm="1">
        <f t="array" ref="O128">MEDIAN(_xlfn._xlws.FILTER(O1:O122, ISNUMBER(O1:O122)))</f>
        <v>7.4753404000000003</v>
      </c>
      <c r="P128" s="40" cm="1">
        <f t="array" ref="P128">MEDIAN(_xlfn._xlws.FILTER(P1:P122, ISNUMBER(P1:P122)))</f>
        <v>-0.84475875</v>
      </c>
      <c r="Q128" s="40" cm="1">
        <f t="array" ref="Q128">MEDIAN(_xlfn._xlws.FILTER(Q1:Q122, ISNUMBER(Q1:Q122)))</f>
        <v>-1.555264</v>
      </c>
      <c r="R128" s="40" cm="1">
        <f t="array" ref="R128">MEDIAN(_xlfn._xlws.FILTER(R1:R122, ISNUMBER(R1:R122)))</f>
        <v>0.20933151</v>
      </c>
      <c r="S128" s="40" cm="1">
        <f t="array" ref="S128">MEDIAN(_xlfn._xlws.FILTER(S1:S122, ISNUMBER(S1:S122)))</f>
        <v>-1.7637252999999999</v>
      </c>
      <c r="T128" s="40" cm="1">
        <f t="array" ref="T128">MEDIAN(_xlfn._xlws.FILTER(T1:T122, ISNUMBER(T1:T122)))</f>
        <v>-2.6618183000000002</v>
      </c>
      <c r="U128" s="40" cm="1">
        <f t="array" ref="U128">MEDIAN(_xlfn._xlws.FILTER(U1:U122, ISNUMBER(U1:U122)))</f>
        <v>-3.363645</v>
      </c>
      <c r="V128" s="155" cm="1">
        <f t="array" ref="V128">MEDIAN(_xlfn._xlws.FILTER(V1:V122, ISNUMBER(V1:V122)))</f>
        <v>10.970485999999999</v>
      </c>
      <c r="W128" s="9"/>
    </row>
    <row r="129" spans="1:22" x14ac:dyDescent="0.35">
      <c r="A129" s="2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157"/>
    </row>
    <row r="130" spans="1:22" x14ac:dyDescent="0.35">
      <c r="A130" s="2" t="s">
        <v>87</v>
      </c>
      <c r="B130">
        <f>COUNTIF(B2:B122, "&lt;"&amp;Assumption!$F$50)</f>
        <v>31</v>
      </c>
      <c r="C130">
        <f>COUNTIF(C2:C122, "&lt;"&amp;Assumption!$F$50)</f>
        <v>48</v>
      </c>
      <c r="D130">
        <f>COUNTIF(D2:D122, "&lt;"&amp;Assumption!$F$50)</f>
        <v>27</v>
      </c>
      <c r="E130">
        <f>COUNTIF(E2:E122, "&lt;"&amp;Assumption!$F$50)</f>
        <v>30</v>
      </c>
      <c r="F130">
        <f>COUNTIF(F2:F122, "&lt;"&amp;Assumption!$F$50)</f>
        <v>51</v>
      </c>
      <c r="G130">
        <f>COUNTIF(G2:G122, "&lt;"&amp;Assumption!$F$50)</f>
        <v>27</v>
      </c>
      <c r="H130">
        <f>COUNTIF(H2:H122, "&lt;"&amp;Assumption!$F$50)</f>
        <v>31</v>
      </c>
      <c r="I130">
        <f>COUNTIF(I2:I122, "&lt;"&amp;Assumption!$F$50)</f>
        <v>22</v>
      </c>
      <c r="J130">
        <f>COUNTIF(J2:J122, "&lt;"&amp;Assumption!$F$50)</f>
        <v>34</v>
      </c>
      <c r="K130">
        <f>COUNTIF(K2:K122, "&lt;"&amp;Assumption!$F$50)</f>
        <v>38</v>
      </c>
      <c r="L130">
        <f>COUNTIF(L2:L122, "&lt;"&amp;Assumption!$F$50)</f>
        <v>40</v>
      </c>
      <c r="M130">
        <f>COUNTIF(M2:M122, "&lt;"&amp;Assumption!$F$50)</f>
        <v>35</v>
      </c>
      <c r="N130">
        <f>COUNTIF(N2:N122, "&lt;"&amp;Assumption!$F$50)</f>
        <v>52</v>
      </c>
      <c r="O130">
        <f>COUNTIF(O2:O122, "&lt;"&amp;Assumption!$F$50)</f>
        <v>15</v>
      </c>
      <c r="P130">
        <f>COUNTIF(P2:P122, "&lt;"&amp;Assumption!$F$50)</f>
        <v>38</v>
      </c>
      <c r="Q130">
        <f>COUNTIF(Q2:Q122, "&lt;"&amp;Assumption!$F$50)</f>
        <v>30</v>
      </c>
      <c r="R130">
        <f>COUNTIF(R2:R122, "&lt;"&amp;Assumption!$F$50)</f>
        <v>25</v>
      </c>
      <c r="S130">
        <f>COUNTIF(S2:S122, "&lt;"&amp;Assumption!$F$50)</f>
        <v>44</v>
      </c>
      <c r="T130">
        <f>COUNTIF(T2:T122, "&lt;"&amp;Assumption!$F$50)</f>
        <v>31</v>
      </c>
      <c r="U130">
        <f>COUNTIF(U2:U122, "&lt;"&amp;Assumption!$F$50)</f>
        <v>41</v>
      </c>
      <c r="V130" s="1">
        <f>COUNTIF(V2:V122, "&lt;"&amp;Assumption!$F$50)</f>
        <v>12</v>
      </c>
    </row>
    <row r="131" spans="1:22" x14ac:dyDescent="0.35">
      <c r="A131" s="2" t="s">
        <v>86</v>
      </c>
      <c r="B131">
        <f>COUNT(B1:B122)</f>
        <v>86</v>
      </c>
      <c r="C131">
        <f t="shared" ref="C131:V131" si="0">COUNT(C1:C122)</f>
        <v>121</v>
      </c>
      <c r="D131">
        <f t="shared" si="0"/>
        <v>121</v>
      </c>
      <c r="E131">
        <f t="shared" si="0"/>
        <v>121</v>
      </c>
      <c r="F131">
        <f t="shared" si="0"/>
        <v>121</v>
      </c>
      <c r="G131">
        <f t="shared" si="0"/>
        <v>121</v>
      </c>
      <c r="H131">
        <f t="shared" si="0"/>
        <v>121</v>
      </c>
      <c r="I131">
        <f t="shared" si="0"/>
        <v>121</v>
      </c>
      <c r="J131">
        <f t="shared" si="0"/>
        <v>121</v>
      </c>
      <c r="K131">
        <f t="shared" si="0"/>
        <v>121</v>
      </c>
      <c r="L131">
        <f t="shared" si="0"/>
        <v>121</v>
      </c>
      <c r="M131">
        <f t="shared" si="0"/>
        <v>121</v>
      </c>
      <c r="N131">
        <f t="shared" si="0"/>
        <v>121</v>
      </c>
      <c r="O131">
        <f t="shared" si="0"/>
        <v>121</v>
      </c>
      <c r="P131">
        <f t="shared" si="0"/>
        <v>121</v>
      </c>
      <c r="Q131">
        <f t="shared" si="0"/>
        <v>111</v>
      </c>
      <c r="R131">
        <f t="shared" si="0"/>
        <v>121</v>
      </c>
      <c r="S131">
        <f t="shared" si="0"/>
        <v>121</v>
      </c>
      <c r="T131">
        <f t="shared" si="0"/>
        <v>111</v>
      </c>
      <c r="U131">
        <f t="shared" si="0"/>
        <v>121</v>
      </c>
      <c r="V131" s="1">
        <f t="shared" si="0"/>
        <v>95</v>
      </c>
    </row>
    <row r="132" spans="1:22" x14ac:dyDescent="0.35">
      <c r="A132" s="2"/>
    </row>
    <row r="133" spans="1:22" x14ac:dyDescent="0.35">
      <c r="A133" s="2" t="s">
        <v>400</v>
      </c>
      <c r="B133" s="9">
        <f>B130/B131</f>
        <v>0.36046511627906974</v>
      </c>
      <c r="C133" s="9">
        <f t="shared" ref="C133:V133" si="1">C130/C131</f>
        <v>0.39669421487603307</v>
      </c>
      <c r="D133" s="9">
        <f t="shared" si="1"/>
        <v>0.2231404958677686</v>
      </c>
      <c r="E133" s="9">
        <f t="shared" si="1"/>
        <v>0.24793388429752067</v>
      </c>
      <c r="F133" s="9">
        <f t="shared" si="1"/>
        <v>0.42148760330578511</v>
      </c>
      <c r="G133" s="9">
        <f t="shared" si="1"/>
        <v>0.2231404958677686</v>
      </c>
      <c r="H133" s="9">
        <f t="shared" si="1"/>
        <v>0.256198347107438</v>
      </c>
      <c r="I133" s="9">
        <f t="shared" si="1"/>
        <v>0.18181818181818182</v>
      </c>
      <c r="J133" s="9">
        <f t="shared" si="1"/>
        <v>0.28099173553719009</v>
      </c>
      <c r="K133" s="9">
        <f t="shared" si="1"/>
        <v>0.31404958677685951</v>
      </c>
      <c r="L133" s="9">
        <f t="shared" si="1"/>
        <v>0.33057851239669422</v>
      </c>
      <c r="M133" s="9">
        <f t="shared" si="1"/>
        <v>0.28925619834710742</v>
      </c>
      <c r="N133" s="9">
        <f t="shared" si="1"/>
        <v>0.42975206611570249</v>
      </c>
      <c r="O133" s="9">
        <f t="shared" si="1"/>
        <v>0.12396694214876033</v>
      </c>
      <c r="P133" s="9">
        <f t="shared" si="1"/>
        <v>0.31404958677685951</v>
      </c>
      <c r="Q133" s="9">
        <f t="shared" si="1"/>
        <v>0.27027027027027029</v>
      </c>
      <c r="R133" s="9">
        <f t="shared" si="1"/>
        <v>0.20661157024793389</v>
      </c>
      <c r="S133" s="9">
        <f t="shared" si="1"/>
        <v>0.36363636363636365</v>
      </c>
      <c r="T133" s="9">
        <f t="shared" si="1"/>
        <v>0.27927927927927926</v>
      </c>
      <c r="U133" s="9">
        <f t="shared" si="1"/>
        <v>0.33884297520661155</v>
      </c>
      <c r="V133" s="48">
        <f t="shared" si="1"/>
        <v>0.12631578947368421</v>
      </c>
    </row>
    <row r="134" spans="1:22" x14ac:dyDescent="0.35">
      <c r="A134" s="2"/>
    </row>
    <row r="135" spans="1:22" x14ac:dyDescent="0.35">
      <c r="A135" s="2"/>
      <c r="B135" s="115"/>
      <c r="C135" s="115"/>
      <c r="D135" s="115"/>
      <c r="E135" s="115"/>
      <c r="F135" s="115"/>
      <c r="G135" s="115"/>
      <c r="H135" s="115"/>
      <c r="I135" s="115"/>
      <c r="J135" s="115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48"/>
    </row>
    <row r="136" spans="1:22" x14ac:dyDescent="0.35">
      <c r="A136" s="2" t="s">
        <v>403</v>
      </c>
      <c r="B136" s="40" cm="1">
        <f t="array" ref="B136">_xlfn.PERCENTRANK.EXC(_xlfn._xlws.FILTER(B2:B122, ISNUMBER(B2:B122)),B120)</f>
        <v>0.40200000000000002</v>
      </c>
      <c r="C136" s="40" cm="1">
        <f t="array" ref="C136">_xlfn.PERCENTRANK.EXC(_xlfn._xlws.FILTER(C2:C122, ISNUMBER(C2:C122)),C120)</f>
        <v>0.56499999999999995</v>
      </c>
      <c r="D136" s="40" cm="1">
        <f t="array" ref="D136">_xlfn.PERCENTRANK.EXC(_xlfn._xlws.FILTER(D2:D122, ISNUMBER(D2:D122)),D120)</f>
        <v>0.311</v>
      </c>
      <c r="E136" s="40" cm="1">
        <f t="array" ref="E136">_xlfn.PERCENTRANK.EXC(_xlfn._xlws.FILTER(E2:E122, ISNUMBER(E2:E122)),E120)</f>
        <v>0.55700000000000005</v>
      </c>
      <c r="F136" s="40" cm="1">
        <f t="array" ref="F136">_xlfn.PERCENTRANK.EXC(_xlfn._xlws.FILTER(F2:F122, ISNUMBER(F2:F122)),F120)</f>
        <v>0.89300000000000002</v>
      </c>
      <c r="G136" s="40" cm="1">
        <f t="array" ref="G136">_xlfn.PERCENTRANK.EXC(_xlfn._xlws.FILTER(G2:G122, ISNUMBER(G2:G122)),G120)</f>
        <v>0.95</v>
      </c>
      <c r="H136" s="40" cm="1">
        <f t="array" ref="H136">_xlfn.PERCENTRANK.EXC(_xlfn._xlws.FILTER(H2:H122, ISNUMBER(H2:H122)),H120)</f>
        <v>0.877</v>
      </c>
      <c r="I136" s="40" cm="1">
        <f t="array" ref="I136">_xlfn.PERCENTRANK.EXC(_xlfn._xlws.FILTER(I2:I122, ISNUMBER(I2:I122)),I120)</f>
        <v>0.81100000000000005</v>
      </c>
      <c r="J136" s="40" cm="1">
        <f t="array" ref="J136">_xlfn.PERCENTRANK.EXC(_xlfn._xlws.FILTER(J2:J122, ISNUMBER(J2:J122)),J120)</f>
        <v>0.69599999999999995</v>
      </c>
      <c r="K136" s="40" cm="1">
        <f t="array" ref="K136">_xlfn.PERCENTRANK.EXC(_xlfn._xlws.FILTER(K2:K122, ISNUMBER(K2:K122)),K120)</f>
        <v>0.64700000000000002</v>
      </c>
      <c r="L136" s="40" cm="1">
        <f t="array" ref="L136">_xlfn.PERCENTRANK.EXC(_xlfn._xlws.FILTER(L2:L122, ISNUMBER(L2:L122)),L120)</f>
        <v>0.59</v>
      </c>
      <c r="M136" s="40" cm="1">
        <f t="array" ref="M136">_xlfn.PERCENTRANK.EXC(_xlfn._xlws.FILTER(M2:M122, ISNUMBER(M2:M122)),M120)</f>
        <v>0.78600000000000003</v>
      </c>
      <c r="N136" s="40" cm="1">
        <f t="array" ref="N136">_xlfn.PERCENTRANK.EXC(_xlfn._xlws.FILTER(N2:N122, ISNUMBER(N2:N122)),N120)</f>
        <v>0.79500000000000004</v>
      </c>
      <c r="O136" s="40" cm="1">
        <f t="array" ref="O136">_xlfn.PERCENTRANK.EXC(_xlfn._xlws.FILTER(O2:O122, ISNUMBER(O2:O122)),O120)</f>
        <v>0.82699999999999996</v>
      </c>
      <c r="P136" s="40" cm="1">
        <f t="array" ref="P136">_xlfn.PERCENTRANK.EXC(_xlfn._xlws.FILTER(P2:P122, ISNUMBER(P2:P122)),P120)</f>
        <v>0.55700000000000005</v>
      </c>
      <c r="Q136" s="40" cm="1">
        <f t="array" ref="Q136">_xlfn.PERCENTRANK.EXC(_xlfn._xlws.FILTER(Q2:Q122, ISNUMBER(Q2:Q122)),Q120)</f>
        <v>0.34799999999999998</v>
      </c>
      <c r="R136" s="40" cm="1">
        <f t="array" ref="R136">_xlfn.PERCENTRANK.EXC(_xlfn._xlws.FILTER(R2:R122, ISNUMBER(R2:R122)),R120)</f>
        <v>0.245</v>
      </c>
      <c r="S136" s="40" cm="1">
        <f t="array" ref="S136">_xlfn.PERCENTRANK.EXC(_xlfn._xlws.FILTER(S2:S122, ISNUMBER(S2:S122)),S120)</f>
        <v>0.90100000000000002</v>
      </c>
      <c r="T136" s="40" cm="1">
        <f t="array" ref="T136">_xlfn.PERCENTRANK.EXC(_xlfn._xlws.FILTER(T2:T122, ISNUMBER(T2:T122)),T120)</f>
        <v>0.61599999999999999</v>
      </c>
      <c r="U136" s="40" cm="1">
        <f t="array" ref="U136">_xlfn.PERCENTRANK.EXC(_xlfn._xlws.FILTER(U2:U122, ISNUMBER(U2:U122)),U120)</f>
        <v>0.754</v>
      </c>
      <c r="V136" s="155" cm="1">
        <f t="array" ref="V136">_xlfn.PERCENTRANK.EXC(_xlfn._xlws.FILTER(V2:V122, ISNUMBER(V2:V122)),V120)</f>
        <v>0.36399999999999999</v>
      </c>
    </row>
    <row r="137" spans="1:22" x14ac:dyDescent="0.35">
      <c r="A137" s="2" t="s">
        <v>402</v>
      </c>
      <c r="B137" s="40" cm="1">
        <f t="array" ref="B137">_xlfn.PERCENTRANK.EXC(_xlfn._xlws.FILTER(B2:B122, ISNUMBER(B2:B122)),B121)</f>
        <v>0.35599999999999998</v>
      </c>
      <c r="C137" s="40" cm="1">
        <f t="array" ref="C137">_xlfn.PERCENTRANK.EXC(_xlfn._xlws.FILTER(C2:C122, ISNUMBER(C2:C122)),C121)</f>
        <v>0.442</v>
      </c>
      <c r="D137" s="40" cm="1">
        <f t="array" ref="D137">_xlfn.PERCENTRANK.EXC(_xlfn._xlws.FILTER(D2:D122, ISNUMBER(D2:D122)),D121)</f>
        <v>0.13100000000000001</v>
      </c>
      <c r="E137" s="40" cm="1">
        <f t="array" ref="E137">_xlfn.PERCENTRANK.EXC(_xlfn._xlws.FILTER(E2:E122, ISNUMBER(E2:E122)),E121)</f>
        <v>0.38500000000000001</v>
      </c>
      <c r="F137" s="40" cm="1">
        <f t="array" ref="F137">_xlfn.PERCENTRANK.EXC(_xlfn._xlws.FILTER(F2:F122, ISNUMBER(F2:F122)),F121)</f>
        <v>0.77</v>
      </c>
      <c r="G137" s="40" cm="1">
        <f t="array" ref="G137">_xlfn.PERCENTRANK.EXC(_xlfn._xlws.FILTER(G2:G122, ISNUMBER(G2:G122)),G121)</f>
        <v>0.88500000000000001</v>
      </c>
      <c r="H137" s="40" cm="1">
        <f t="array" ref="H137">_xlfn.PERCENTRANK.EXC(_xlfn._xlws.FILTER(H2:H122, ISNUMBER(H2:H122)),H121)</f>
        <v>0.93400000000000005</v>
      </c>
      <c r="I137" s="40" cm="1">
        <f t="array" ref="I137">_xlfn.PERCENTRANK.EXC(_xlfn._xlws.FILTER(I2:I122, ISNUMBER(I2:I122)),I121)</f>
        <v>0.77</v>
      </c>
      <c r="J137" s="40" cm="1">
        <f t="array" ref="J137">_xlfn.PERCENTRANK.EXC(_xlfn._xlws.FILTER(J2:J122, ISNUMBER(J2:J122)),J121)</f>
        <v>0.311</v>
      </c>
      <c r="K137" s="40" cm="1">
        <f t="array" ref="K137">_xlfn.PERCENTRANK.EXC(_xlfn._xlws.FILTER(K2:K122, ISNUMBER(K2:K122)),K121)</f>
        <v>0.53200000000000003</v>
      </c>
      <c r="L137" s="40" cm="1">
        <f t="array" ref="L137">_xlfn.PERCENTRANK.EXC(_xlfn._xlws.FILTER(L2:L122, ISNUMBER(L2:L122)),L121)</f>
        <v>0.32700000000000001</v>
      </c>
      <c r="M137" s="40" cm="1">
        <f t="array" ref="M137">_xlfn.PERCENTRANK.EXC(_xlfn._xlws.FILTER(M2:M122, ISNUMBER(M2:M122)),M121)</f>
        <v>0.66300000000000003</v>
      </c>
      <c r="N137" s="40" cm="1">
        <f t="array" ref="N137">_xlfn.PERCENTRANK.EXC(_xlfn._xlws.FILTER(N2:N122, ISNUMBER(N2:N122)),N121)</f>
        <v>0.59</v>
      </c>
      <c r="O137" s="40" cm="1">
        <f t="array" ref="O137">_xlfn.PERCENTRANK.EXC(_xlfn._xlws.FILTER(O2:O122, ISNUMBER(O2:O122)),O121)</f>
        <v>0.81899999999999995</v>
      </c>
      <c r="P137" s="40" cm="1">
        <f t="array" ref="P137">_xlfn.PERCENTRANK.EXC(_xlfn._xlws.FILTER(P2:P122, ISNUMBER(P2:P122)),P121)</f>
        <v>0.38500000000000001</v>
      </c>
      <c r="Q137" s="40" cm="1">
        <f t="array" ref="Q137">_xlfn.PERCENTRANK.EXC(_xlfn._xlws.FILTER(Q2:Q122, ISNUMBER(Q2:Q122)),Q121)</f>
        <v>0.39200000000000002</v>
      </c>
      <c r="R137" s="40" cm="1">
        <f t="array" ref="R137">_xlfn.PERCENTRANK.EXC(_xlfn._xlws.FILTER(R2:R122, ISNUMBER(R2:R122)),R121)</f>
        <v>9.8000000000000004E-2</v>
      </c>
      <c r="S137" s="40" cm="1">
        <f t="array" ref="S137">_xlfn.PERCENTRANK.EXC(_xlfn._xlws.FILTER(S2:S122, ISNUMBER(S2:S122)),S121)</f>
        <v>0.89300000000000002</v>
      </c>
      <c r="T137" s="40" cm="1">
        <f t="array" ref="T137">_xlfn.PERCENTRANK.EXC(_xlfn._xlws.FILTER(T2:T122, ISNUMBER(T2:T122)),T121)</f>
        <v>0.48199999999999998</v>
      </c>
      <c r="U137" s="40" cm="1">
        <f t="array" ref="U137">_xlfn.PERCENTRANK.EXC(_xlfn._xlws.FILTER(U2:U122, ISNUMBER(U2:U122)),U121)</f>
        <v>0.56499999999999995</v>
      </c>
      <c r="V137" s="155" cm="1">
        <f t="array" ref="V137">_xlfn.PERCENTRANK.EXC(_xlfn._xlws.FILTER(V2:V122, ISNUMBER(V2:V122)),V121)</f>
        <v>0.27</v>
      </c>
    </row>
    <row r="138" spans="1:22" x14ac:dyDescent="0.35">
      <c r="A138" s="2" t="s">
        <v>507</v>
      </c>
      <c r="B138" s="40" cm="1">
        <f t="array" ref="B138">_xlfn.PERCENTRANK.EXC(_xlfn._xlws.FILTER(B2:B122, ISNUMBER(B2:B122)),B122)</f>
        <v>0.39</v>
      </c>
      <c r="C138" s="40" cm="1">
        <f t="array" ref="C138">_xlfn.PERCENTRANK.EXC(_xlfn._xlws.FILTER(C2:C122, ISNUMBER(C2:C122)),C122)</f>
        <v>0.254</v>
      </c>
      <c r="D138" s="40" cm="1">
        <f t="array" ref="D138">_xlfn.PERCENTRANK.EXC(_xlfn._xlws.FILTER(D2:D122, ISNUMBER(D2:D122)),D122)</f>
        <v>0.21299999999999999</v>
      </c>
      <c r="E138" s="40" cm="1">
        <f t="array" ref="E138">_xlfn.PERCENTRANK.EXC(_xlfn._xlws.FILTER(E2:E122, ISNUMBER(E2:E122)),E122)</f>
        <v>0.45900000000000002</v>
      </c>
      <c r="F138" s="40" cm="1">
        <f t="array" ref="F138">_xlfn.PERCENTRANK.EXC(_xlfn._xlws.FILTER(F2:F122, ISNUMBER(F2:F122)),F122)</f>
        <v>0.73699999999999999</v>
      </c>
      <c r="G138" s="40" cm="1">
        <f t="array" ref="G138">_xlfn.PERCENTRANK.EXC(_xlfn._xlws.FILTER(G2:G122, ISNUMBER(G2:G122)),G122)</f>
        <v>0.85199999999999998</v>
      </c>
      <c r="H138" s="40" cm="1">
        <f t="array" ref="H138">_xlfn.PERCENTRANK.EXC(_xlfn._xlws.FILTER(H2:H122, ISNUMBER(H2:H122)),H122)</f>
        <v>0.90900000000000003</v>
      </c>
      <c r="I138" s="40" cm="1">
        <f t="array" ref="I138">_xlfn.PERCENTRANK.EXC(_xlfn._xlws.FILTER(I2:I122, ISNUMBER(I2:I122)),I122)</f>
        <v>0.72899999999999998</v>
      </c>
      <c r="J138" s="40" cm="1">
        <f t="array" ref="J138">_xlfn.PERCENTRANK.EXC(_xlfn._xlws.FILTER(J2:J122, ISNUMBER(J2:J122)),J122)</f>
        <v>0.40100000000000002</v>
      </c>
      <c r="K138" s="40" cm="1">
        <f t="array" ref="K138">_xlfn.PERCENTRANK.EXC(_xlfn._xlws.FILTER(K2:K122, ISNUMBER(K2:K122)),K122)</f>
        <v>0.50800000000000001</v>
      </c>
      <c r="L138" s="40" cm="1">
        <f t="array" ref="L138">_xlfn.PERCENTRANK.EXC(_xlfn._xlws.FILTER(L2:L122, ISNUMBER(L2:L122)),L122)</f>
        <v>0.36</v>
      </c>
      <c r="M138" s="40" cm="1">
        <f t="array" ref="M138">_xlfn.PERCENTRANK.EXC(_xlfn._xlws.FILTER(M2:M122, ISNUMBER(M2:M122)),M122)</f>
        <v>0.60599999999999998</v>
      </c>
      <c r="N138" s="40" cm="1">
        <f t="array" ref="N138">_xlfn.PERCENTRANK.EXC(_xlfn._xlws.FILTER(N2:N122, ISNUMBER(N2:N122)),N122)</f>
        <v>0.58099999999999996</v>
      </c>
      <c r="O138" s="40" cm="1">
        <f t="array" ref="O138">_xlfn.PERCENTRANK.EXC(_xlfn._xlws.FILTER(O2:O122, ISNUMBER(O2:O122)),O122)</f>
        <v>0.79500000000000004</v>
      </c>
      <c r="P138" s="40" cm="1">
        <f t="array" ref="P138">_xlfn.PERCENTRANK.EXC(_xlfn._xlws.FILTER(P2:P122, ISNUMBER(P2:P122)),P122)</f>
        <v>0.41799999999999998</v>
      </c>
      <c r="Q138" s="40" cm="1">
        <f t="array" ref="Q138">_xlfn.PERCENTRANK.EXC(_xlfn._xlws.FILTER(Q2:Q122, ISNUMBER(Q2:Q122)),Q122)</f>
        <v>0.49099999999999999</v>
      </c>
      <c r="R138" s="40" cm="1">
        <f t="array" ref="R138">_xlfn.PERCENTRANK.EXC(_xlfn._xlws.FILTER(R2:R122, ISNUMBER(R2:R122)),R122)</f>
        <v>0.13900000000000001</v>
      </c>
      <c r="S138" s="40" cm="1">
        <f t="array" ref="S138">_xlfn.PERCENTRANK.EXC(_xlfn._xlws.FILTER(S2:S122, ISNUMBER(S2:S122)),S122)</f>
        <v>0.877</v>
      </c>
      <c r="T138" s="40" cm="1">
        <f t="array" ref="T138">_xlfn.PERCENTRANK.EXC(_xlfn._xlws.FILTER(T2:T122, ISNUMBER(T2:T122)),T122)</f>
        <v>0.56200000000000006</v>
      </c>
      <c r="U138" s="40" cm="1">
        <f t="array" ref="U138">_xlfn.PERCENTRANK.EXC(_xlfn._xlws.FILTER(U2:U122, ISNUMBER(U2:U122)),U122)</f>
        <v>0.377</v>
      </c>
      <c r="V138" s="155" cm="1">
        <f t="array" ref="V138">_xlfn.PERCENTRANK.EXC(_xlfn._xlws.FILTER(V2:V122, ISNUMBER(V2:V122)),V122)</f>
        <v>0.29099999999999998</v>
      </c>
    </row>
    <row r="139" spans="1:22" x14ac:dyDescent="0.35">
      <c r="A139" s="2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155"/>
    </row>
    <row r="140" spans="1:22" x14ac:dyDescent="0.35">
      <c r="A140" s="2" t="s">
        <v>467</v>
      </c>
      <c r="B140" s="40">
        <f t="shared" ref="B140:V140" si="2">AVERAGE(B136:B138)</f>
        <v>0.38266666666666671</v>
      </c>
      <c r="C140" s="40">
        <f t="shared" si="2"/>
        <v>0.42033333333333328</v>
      </c>
      <c r="D140" s="40">
        <f t="shared" si="2"/>
        <v>0.21833333333333335</v>
      </c>
      <c r="E140" s="40">
        <f t="shared" si="2"/>
        <v>0.46700000000000003</v>
      </c>
      <c r="F140" s="40">
        <f t="shared" si="2"/>
        <v>0.79999999999999993</v>
      </c>
      <c r="G140" s="40">
        <f t="shared" si="2"/>
        <v>0.89566666666666661</v>
      </c>
      <c r="H140" s="40">
        <f t="shared" si="2"/>
        <v>0.90666666666666662</v>
      </c>
      <c r="I140" s="40">
        <f t="shared" si="2"/>
        <v>0.77</v>
      </c>
      <c r="J140" s="40">
        <f t="shared" si="2"/>
        <v>0.46933333333333332</v>
      </c>
      <c r="K140" s="40">
        <f t="shared" si="2"/>
        <v>0.56233333333333335</v>
      </c>
      <c r="L140" s="40">
        <f t="shared" si="2"/>
        <v>0.42566666666666669</v>
      </c>
      <c r="M140" s="40">
        <f t="shared" si="2"/>
        <v>0.68500000000000005</v>
      </c>
      <c r="N140" s="40">
        <f t="shared" si="2"/>
        <v>0.65533333333333332</v>
      </c>
      <c r="O140" s="40">
        <f t="shared" si="2"/>
        <v>0.81366666666666665</v>
      </c>
      <c r="P140" s="40">
        <f t="shared" si="2"/>
        <v>0.45333333333333337</v>
      </c>
      <c r="Q140" s="40">
        <f t="shared" si="2"/>
        <v>0.41033333333333327</v>
      </c>
      <c r="R140" s="40">
        <f t="shared" si="2"/>
        <v>0.16066666666666665</v>
      </c>
      <c r="S140" s="40">
        <f t="shared" si="2"/>
        <v>0.89033333333333342</v>
      </c>
      <c r="T140" s="40">
        <f t="shared" si="2"/>
        <v>0.55333333333333334</v>
      </c>
      <c r="U140" s="40">
        <f t="shared" si="2"/>
        <v>0.56533333333333335</v>
      </c>
      <c r="V140" s="155">
        <f t="shared" si="2"/>
        <v>0.30833333333333335</v>
      </c>
    </row>
    <row r="141" spans="1:22" x14ac:dyDescent="0.35">
      <c r="A141" s="2"/>
    </row>
    <row r="142" spans="1:22" x14ac:dyDescent="0.35">
      <c r="A142" s="2"/>
    </row>
    <row r="143" spans="1:22" x14ac:dyDescent="0.35">
      <c r="A143" s="2"/>
    </row>
    <row r="144" spans="1:22" x14ac:dyDescent="0.35">
      <c r="A144" s="2"/>
    </row>
    <row r="145" spans="1:1" x14ac:dyDescent="0.35">
      <c r="A145" s="2"/>
    </row>
    <row r="146" spans="1:1" x14ac:dyDescent="0.35">
      <c r="A146" s="2"/>
    </row>
    <row r="147" spans="1:1" x14ac:dyDescent="0.35">
      <c r="A147" s="2"/>
    </row>
    <row r="148" spans="1:1" x14ac:dyDescent="0.35">
      <c r="A148" s="2"/>
    </row>
    <row r="149" spans="1:1" x14ac:dyDescent="0.35">
      <c r="A149" s="2"/>
    </row>
    <row r="150" spans="1:1" x14ac:dyDescent="0.35">
      <c r="A150" s="2"/>
    </row>
    <row r="151" spans="1:1" x14ac:dyDescent="0.35">
      <c r="A151" s="2"/>
    </row>
    <row r="152" spans="1:1" x14ac:dyDescent="0.35">
      <c r="A152" s="2"/>
    </row>
    <row r="153" spans="1:1" x14ac:dyDescent="0.35">
      <c r="A153" s="2"/>
    </row>
    <row r="154" spans="1:1" x14ac:dyDescent="0.35">
      <c r="A154" s="2"/>
    </row>
    <row r="155" spans="1:1" x14ac:dyDescent="0.35">
      <c r="A155" s="2"/>
    </row>
    <row r="156" spans="1:1" x14ac:dyDescent="0.35">
      <c r="A156" s="2"/>
    </row>
    <row r="157" spans="1:1" x14ac:dyDescent="0.35">
      <c r="A157" s="2"/>
    </row>
    <row r="158" spans="1:1" x14ac:dyDescent="0.35">
      <c r="A158" s="2"/>
    </row>
    <row r="159" spans="1:1" x14ac:dyDescent="0.35">
      <c r="A159" s="2"/>
    </row>
    <row r="160" spans="1:1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  <row r="180" spans="1:1" x14ac:dyDescent="0.35">
      <c r="A180" s="2"/>
    </row>
    <row r="181" spans="1:1" x14ac:dyDescent="0.35">
      <c r="A181" s="2"/>
    </row>
    <row r="182" spans="1:1" x14ac:dyDescent="0.35">
      <c r="A182" s="2"/>
    </row>
    <row r="183" spans="1:1" x14ac:dyDescent="0.35">
      <c r="A183" s="2"/>
    </row>
    <row r="184" spans="1:1" x14ac:dyDescent="0.35">
      <c r="A184" s="2"/>
    </row>
    <row r="185" spans="1:1" x14ac:dyDescent="0.35">
      <c r="A185" s="2"/>
    </row>
    <row r="186" spans="1:1" x14ac:dyDescent="0.35">
      <c r="A186" s="2"/>
    </row>
    <row r="187" spans="1:1" x14ac:dyDescent="0.35">
      <c r="A187" s="2"/>
    </row>
    <row r="188" spans="1:1" x14ac:dyDescent="0.35">
      <c r="A188" s="2"/>
    </row>
    <row r="189" spans="1:1" x14ac:dyDescent="0.35">
      <c r="A189" s="2"/>
    </row>
    <row r="190" spans="1:1" x14ac:dyDescent="0.35">
      <c r="A190" s="2"/>
    </row>
    <row r="191" spans="1:1" x14ac:dyDescent="0.35">
      <c r="A191" s="2"/>
    </row>
    <row r="192" spans="1:1" x14ac:dyDescent="0.35">
      <c r="A192" s="2"/>
    </row>
    <row r="193" spans="1:1" x14ac:dyDescent="0.35">
      <c r="A193" s="2"/>
    </row>
    <row r="194" spans="1:1" x14ac:dyDescent="0.35">
      <c r="A194" s="2"/>
    </row>
    <row r="195" spans="1:1" x14ac:dyDescent="0.35">
      <c r="A195" s="2"/>
    </row>
    <row r="196" spans="1:1" x14ac:dyDescent="0.35">
      <c r="A196" s="2"/>
    </row>
    <row r="197" spans="1:1" x14ac:dyDescent="0.35">
      <c r="A197" s="2"/>
    </row>
    <row r="198" spans="1:1" x14ac:dyDescent="0.35">
      <c r="A198" s="2"/>
    </row>
    <row r="199" spans="1:1" x14ac:dyDescent="0.35">
      <c r="A199" s="2"/>
    </row>
    <row r="200" spans="1:1" x14ac:dyDescent="0.35">
      <c r="A200" s="2"/>
    </row>
    <row r="201" spans="1:1" x14ac:dyDescent="0.35">
      <c r="A201" s="2"/>
    </row>
    <row r="202" spans="1:1" x14ac:dyDescent="0.35">
      <c r="A202" s="2"/>
    </row>
    <row r="203" spans="1:1" x14ac:dyDescent="0.35">
      <c r="A203" s="2"/>
    </row>
    <row r="204" spans="1:1" x14ac:dyDescent="0.35">
      <c r="A204" s="2"/>
    </row>
    <row r="205" spans="1:1" x14ac:dyDescent="0.35">
      <c r="A205" s="2"/>
    </row>
    <row r="206" spans="1:1" x14ac:dyDescent="0.35">
      <c r="A206" s="2"/>
    </row>
    <row r="207" spans="1:1" x14ac:dyDescent="0.35">
      <c r="A207" s="2"/>
    </row>
    <row r="208" spans="1: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  <row r="501" spans="1:1" x14ac:dyDescent="0.35">
      <c r="A501" s="2"/>
    </row>
    <row r="502" spans="1:1" x14ac:dyDescent="0.35">
      <c r="A502" s="2"/>
    </row>
    <row r="503" spans="1:1" x14ac:dyDescent="0.35">
      <c r="A503" s="2"/>
    </row>
    <row r="504" spans="1:1" x14ac:dyDescent="0.35">
      <c r="A504" s="2"/>
    </row>
    <row r="505" spans="1:1" x14ac:dyDescent="0.35">
      <c r="A505" s="2"/>
    </row>
    <row r="506" spans="1:1" x14ac:dyDescent="0.35">
      <c r="A506" s="2"/>
    </row>
    <row r="507" spans="1:1" x14ac:dyDescent="0.35">
      <c r="A507" s="2"/>
    </row>
    <row r="508" spans="1:1" x14ac:dyDescent="0.35">
      <c r="A508" s="2"/>
    </row>
    <row r="509" spans="1:1" x14ac:dyDescent="0.35">
      <c r="A509" s="2"/>
    </row>
    <row r="510" spans="1:1" x14ac:dyDescent="0.35">
      <c r="A510" s="2"/>
    </row>
    <row r="511" spans="1:1" x14ac:dyDescent="0.35">
      <c r="A511" s="2"/>
    </row>
    <row r="512" spans="1:1" x14ac:dyDescent="0.35">
      <c r="A512" s="2"/>
    </row>
    <row r="513" spans="1:1" x14ac:dyDescent="0.35">
      <c r="A513" s="2"/>
    </row>
    <row r="514" spans="1:1" x14ac:dyDescent="0.35">
      <c r="A514" s="2"/>
    </row>
    <row r="515" spans="1:1" x14ac:dyDescent="0.35">
      <c r="A515" s="2"/>
    </row>
    <row r="516" spans="1:1" x14ac:dyDescent="0.35">
      <c r="A516" s="2"/>
    </row>
    <row r="517" spans="1:1" x14ac:dyDescent="0.35">
      <c r="A517" s="2"/>
    </row>
    <row r="518" spans="1:1" x14ac:dyDescent="0.35">
      <c r="A518" s="2"/>
    </row>
    <row r="519" spans="1:1" x14ac:dyDescent="0.35">
      <c r="A519" s="2"/>
    </row>
    <row r="520" spans="1:1" x14ac:dyDescent="0.35">
      <c r="A520" s="2"/>
    </row>
    <row r="521" spans="1:1" x14ac:dyDescent="0.35">
      <c r="A521" s="2"/>
    </row>
    <row r="522" spans="1:1" x14ac:dyDescent="0.35">
      <c r="A522" s="2"/>
    </row>
    <row r="523" spans="1:1" x14ac:dyDescent="0.35">
      <c r="A523" s="2"/>
    </row>
    <row r="524" spans="1:1" x14ac:dyDescent="0.35">
      <c r="A524" s="2"/>
    </row>
    <row r="525" spans="1:1" x14ac:dyDescent="0.35">
      <c r="A525" s="2"/>
    </row>
    <row r="526" spans="1:1" x14ac:dyDescent="0.35">
      <c r="A526" s="2"/>
    </row>
    <row r="527" spans="1:1" x14ac:dyDescent="0.35">
      <c r="A527" s="2"/>
    </row>
    <row r="528" spans="1:1" x14ac:dyDescent="0.35">
      <c r="A528" s="2"/>
    </row>
    <row r="529" spans="1:1" x14ac:dyDescent="0.35">
      <c r="A529" s="2"/>
    </row>
    <row r="530" spans="1:1" x14ac:dyDescent="0.35">
      <c r="A530" s="2"/>
    </row>
    <row r="531" spans="1:1" x14ac:dyDescent="0.35">
      <c r="A531" s="2"/>
    </row>
    <row r="532" spans="1:1" x14ac:dyDescent="0.35">
      <c r="A532" s="2"/>
    </row>
    <row r="533" spans="1:1" x14ac:dyDescent="0.35">
      <c r="A533" s="2"/>
    </row>
    <row r="534" spans="1:1" x14ac:dyDescent="0.35">
      <c r="A534" s="2"/>
    </row>
    <row r="535" spans="1:1" x14ac:dyDescent="0.35">
      <c r="A535" s="2"/>
    </row>
    <row r="536" spans="1:1" x14ac:dyDescent="0.35">
      <c r="A536" s="2"/>
    </row>
    <row r="537" spans="1:1" x14ac:dyDescent="0.35">
      <c r="A537" s="2"/>
    </row>
    <row r="538" spans="1:1" x14ac:dyDescent="0.35">
      <c r="A538" s="2"/>
    </row>
    <row r="539" spans="1:1" x14ac:dyDescent="0.35">
      <c r="A539" s="2"/>
    </row>
    <row r="540" spans="1:1" x14ac:dyDescent="0.35">
      <c r="A540" s="2"/>
    </row>
    <row r="541" spans="1:1" x14ac:dyDescent="0.35">
      <c r="A541" s="2"/>
    </row>
    <row r="542" spans="1:1" x14ac:dyDescent="0.35">
      <c r="A542" s="2"/>
    </row>
    <row r="543" spans="1:1" x14ac:dyDescent="0.35">
      <c r="A543" s="2"/>
    </row>
    <row r="544" spans="1:1" x14ac:dyDescent="0.35">
      <c r="A544" s="2"/>
    </row>
    <row r="545" spans="1:1" x14ac:dyDescent="0.35">
      <c r="A545" s="2"/>
    </row>
    <row r="546" spans="1:1" x14ac:dyDescent="0.35">
      <c r="A546" s="2"/>
    </row>
    <row r="547" spans="1:1" x14ac:dyDescent="0.35">
      <c r="A547" s="2"/>
    </row>
    <row r="548" spans="1:1" x14ac:dyDescent="0.35">
      <c r="A548" s="2"/>
    </row>
    <row r="549" spans="1:1" x14ac:dyDescent="0.35">
      <c r="A549" s="2"/>
    </row>
    <row r="550" spans="1:1" x14ac:dyDescent="0.35">
      <c r="A550" s="2"/>
    </row>
    <row r="551" spans="1:1" x14ac:dyDescent="0.35">
      <c r="A551" s="2"/>
    </row>
    <row r="552" spans="1:1" x14ac:dyDescent="0.35">
      <c r="A552" s="2"/>
    </row>
    <row r="553" spans="1:1" x14ac:dyDescent="0.35">
      <c r="A553" s="2"/>
    </row>
    <row r="554" spans="1:1" x14ac:dyDescent="0.35">
      <c r="A554" s="2"/>
    </row>
    <row r="555" spans="1:1" x14ac:dyDescent="0.35">
      <c r="A555" s="2"/>
    </row>
    <row r="556" spans="1:1" x14ac:dyDescent="0.35">
      <c r="A556" s="2"/>
    </row>
    <row r="557" spans="1:1" x14ac:dyDescent="0.35">
      <c r="A557" s="2"/>
    </row>
    <row r="558" spans="1:1" x14ac:dyDescent="0.35">
      <c r="A558" s="2"/>
    </row>
    <row r="559" spans="1:1" x14ac:dyDescent="0.35">
      <c r="A559" s="2"/>
    </row>
    <row r="560" spans="1:1" x14ac:dyDescent="0.35">
      <c r="A560" s="2"/>
    </row>
    <row r="561" spans="1:1" x14ac:dyDescent="0.35">
      <c r="A561" s="2"/>
    </row>
    <row r="562" spans="1:1" x14ac:dyDescent="0.35">
      <c r="A562" s="2"/>
    </row>
    <row r="563" spans="1:1" x14ac:dyDescent="0.35">
      <c r="A563" s="2"/>
    </row>
    <row r="564" spans="1:1" x14ac:dyDescent="0.35">
      <c r="A564" s="2"/>
    </row>
    <row r="565" spans="1:1" x14ac:dyDescent="0.35">
      <c r="A565" s="2"/>
    </row>
    <row r="566" spans="1:1" x14ac:dyDescent="0.35">
      <c r="A566" s="2"/>
    </row>
    <row r="567" spans="1:1" x14ac:dyDescent="0.35">
      <c r="A567" s="2"/>
    </row>
    <row r="568" spans="1:1" x14ac:dyDescent="0.35">
      <c r="A568" s="2"/>
    </row>
    <row r="569" spans="1:1" x14ac:dyDescent="0.35">
      <c r="A569" s="2"/>
    </row>
    <row r="570" spans="1:1" x14ac:dyDescent="0.35">
      <c r="A570" s="2"/>
    </row>
    <row r="571" spans="1:1" x14ac:dyDescent="0.35">
      <c r="A571" s="2"/>
    </row>
    <row r="572" spans="1:1" x14ac:dyDescent="0.35">
      <c r="A572" s="2"/>
    </row>
    <row r="573" spans="1:1" x14ac:dyDescent="0.35">
      <c r="A573" s="2"/>
    </row>
    <row r="574" spans="1:1" x14ac:dyDescent="0.35">
      <c r="A574" s="2"/>
    </row>
    <row r="575" spans="1:1" x14ac:dyDescent="0.35">
      <c r="A575" s="2"/>
    </row>
    <row r="576" spans="1:1" x14ac:dyDescent="0.35">
      <c r="A576" s="2"/>
    </row>
    <row r="577" spans="1:1" x14ac:dyDescent="0.35">
      <c r="A577" s="2"/>
    </row>
    <row r="578" spans="1:1" x14ac:dyDescent="0.35">
      <c r="A578" s="2"/>
    </row>
    <row r="579" spans="1:1" x14ac:dyDescent="0.35">
      <c r="A579" s="2"/>
    </row>
    <row r="580" spans="1:1" x14ac:dyDescent="0.35">
      <c r="A580" s="2"/>
    </row>
    <row r="581" spans="1:1" x14ac:dyDescent="0.35">
      <c r="A581" s="2"/>
    </row>
    <row r="582" spans="1:1" x14ac:dyDescent="0.35">
      <c r="A582" s="2"/>
    </row>
    <row r="583" spans="1:1" x14ac:dyDescent="0.35">
      <c r="A583" s="2"/>
    </row>
    <row r="584" spans="1:1" x14ac:dyDescent="0.35">
      <c r="A584" s="2"/>
    </row>
    <row r="585" spans="1:1" x14ac:dyDescent="0.35">
      <c r="A585" s="2"/>
    </row>
    <row r="586" spans="1:1" x14ac:dyDescent="0.35">
      <c r="A586" s="2"/>
    </row>
    <row r="587" spans="1:1" x14ac:dyDescent="0.35">
      <c r="A587" s="2"/>
    </row>
    <row r="588" spans="1:1" x14ac:dyDescent="0.35">
      <c r="A588" s="2"/>
    </row>
    <row r="589" spans="1:1" x14ac:dyDescent="0.35">
      <c r="A589" s="2"/>
    </row>
    <row r="590" spans="1:1" x14ac:dyDescent="0.35">
      <c r="A590" s="2"/>
    </row>
    <row r="591" spans="1:1" x14ac:dyDescent="0.35">
      <c r="A591" s="2"/>
    </row>
    <row r="592" spans="1:1" x14ac:dyDescent="0.35">
      <c r="A592" s="2"/>
    </row>
    <row r="593" spans="1:1" x14ac:dyDescent="0.35">
      <c r="A593" s="2"/>
    </row>
    <row r="594" spans="1:1" x14ac:dyDescent="0.35">
      <c r="A594" s="2"/>
    </row>
    <row r="595" spans="1:1" x14ac:dyDescent="0.35">
      <c r="A595" s="2"/>
    </row>
    <row r="596" spans="1:1" x14ac:dyDescent="0.35">
      <c r="A596" s="2"/>
    </row>
    <row r="597" spans="1:1" x14ac:dyDescent="0.35">
      <c r="A597" s="2"/>
    </row>
    <row r="598" spans="1:1" x14ac:dyDescent="0.35">
      <c r="A598" s="2"/>
    </row>
    <row r="599" spans="1:1" x14ac:dyDescent="0.35">
      <c r="A599" s="2"/>
    </row>
    <row r="600" spans="1:1" x14ac:dyDescent="0.35">
      <c r="A600" s="2"/>
    </row>
    <row r="601" spans="1:1" x14ac:dyDescent="0.35">
      <c r="A601" s="2"/>
    </row>
    <row r="602" spans="1:1" x14ac:dyDescent="0.35">
      <c r="A602" s="2"/>
    </row>
    <row r="603" spans="1:1" x14ac:dyDescent="0.35">
      <c r="A603" s="2"/>
    </row>
    <row r="604" spans="1:1" x14ac:dyDescent="0.35">
      <c r="A604" s="2"/>
    </row>
    <row r="605" spans="1:1" x14ac:dyDescent="0.35">
      <c r="A605" s="2"/>
    </row>
    <row r="606" spans="1:1" x14ac:dyDescent="0.35">
      <c r="A606" s="2"/>
    </row>
    <row r="607" spans="1:1" x14ac:dyDescent="0.35">
      <c r="A607" s="2"/>
    </row>
    <row r="608" spans="1:1" x14ac:dyDescent="0.35">
      <c r="A608" s="2"/>
    </row>
    <row r="609" spans="1:1" x14ac:dyDescent="0.35">
      <c r="A609" s="2"/>
    </row>
    <row r="610" spans="1:1" x14ac:dyDescent="0.35">
      <c r="A610" s="2"/>
    </row>
    <row r="611" spans="1:1" x14ac:dyDescent="0.35">
      <c r="A611" s="2"/>
    </row>
    <row r="612" spans="1:1" x14ac:dyDescent="0.35">
      <c r="A612" s="2"/>
    </row>
    <row r="613" spans="1:1" x14ac:dyDescent="0.35">
      <c r="A613" s="2"/>
    </row>
    <row r="614" spans="1:1" x14ac:dyDescent="0.35">
      <c r="A614" s="2"/>
    </row>
    <row r="615" spans="1:1" x14ac:dyDescent="0.35">
      <c r="A615" s="2"/>
    </row>
    <row r="616" spans="1:1" x14ac:dyDescent="0.35">
      <c r="A616" s="2"/>
    </row>
    <row r="617" spans="1:1" x14ac:dyDescent="0.35">
      <c r="A617" s="2"/>
    </row>
    <row r="618" spans="1:1" x14ac:dyDescent="0.35">
      <c r="A618" s="2"/>
    </row>
    <row r="619" spans="1:1" x14ac:dyDescent="0.35">
      <c r="A619" s="2"/>
    </row>
    <row r="620" spans="1:1" x14ac:dyDescent="0.35">
      <c r="A620" s="2"/>
    </row>
    <row r="621" spans="1:1" x14ac:dyDescent="0.35">
      <c r="A621" s="2"/>
    </row>
    <row r="622" spans="1:1" x14ac:dyDescent="0.35">
      <c r="A622" s="2"/>
    </row>
    <row r="623" spans="1:1" x14ac:dyDescent="0.35">
      <c r="A623" s="2"/>
    </row>
    <row r="624" spans="1:1" x14ac:dyDescent="0.35">
      <c r="A624" s="2"/>
    </row>
    <row r="625" spans="1:1" x14ac:dyDescent="0.35">
      <c r="A625" s="2"/>
    </row>
    <row r="626" spans="1:1" x14ac:dyDescent="0.35">
      <c r="A626" s="2"/>
    </row>
    <row r="627" spans="1:1" x14ac:dyDescent="0.35">
      <c r="A627" s="2"/>
    </row>
    <row r="628" spans="1:1" x14ac:dyDescent="0.35">
      <c r="A628" s="2"/>
    </row>
    <row r="629" spans="1:1" x14ac:dyDescent="0.35">
      <c r="A629" s="2"/>
    </row>
    <row r="630" spans="1:1" x14ac:dyDescent="0.35">
      <c r="A630" s="2"/>
    </row>
    <row r="631" spans="1:1" x14ac:dyDescent="0.35">
      <c r="A631" s="2"/>
    </row>
    <row r="632" spans="1:1" x14ac:dyDescent="0.35">
      <c r="A632" s="2"/>
    </row>
    <row r="633" spans="1:1" x14ac:dyDescent="0.35">
      <c r="A633" s="2"/>
    </row>
    <row r="634" spans="1:1" x14ac:dyDescent="0.35">
      <c r="A634" s="2"/>
    </row>
    <row r="635" spans="1:1" x14ac:dyDescent="0.35">
      <c r="A635" s="2"/>
    </row>
    <row r="636" spans="1:1" x14ac:dyDescent="0.35">
      <c r="A636" s="2"/>
    </row>
    <row r="637" spans="1:1" x14ac:dyDescent="0.35">
      <c r="A637" s="2"/>
    </row>
    <row r="638" spans="1:1" x14ac:dyDescent="0.35">
      <c r="A638" s="2"/>
    </row>
    <row r="639" spans="1:1" x14ac:dyDescent="0.35">
      <c r="A639" s="2"/>
    </row>
    <row r="640" spans="1:1" x14ac:dyDescent="0.35">
      <c r="A640" s="2"/>
    </row>
    <row r="641" spans="1:1" x14ac:dyDescent="0.35">
      <c r="A641" s="2"/>
    </row>
    <row r="642" spans="1:1" x14ac:dyDescent="0.35">
      <c r="A642" s="2"/>
    </row>
    <row r="643" spans="1:1" x14ac:dyDescent="0.35">
      <c r="A643" s="2"/>
    </row>
    <row r="644" spans="1:1" x14ac:dyDescent="0.35">
      <c r="A644" s="2"/>
    </row>
    <row r="645" spans="1:1" x14ac:dyDescent="0.35">
      <c r="A645" s="2"/>
    </row>
    <row r="646" spans="1:1" x14ac:dyDescent="0.35">
      <c r="A646" s="2"/>
    </row>
    <row r="647" spans="1:1" x14ac:dyDescent="0.35">
      <c r="A647" s="2"/>
    </row>
    <row r="648" spans="1:1" x14ac:dyDescent="0.35">
      <c r="A648" s="2"/>
    </row>
    <row r="649" spans="1:1" x14ac:dyDescent="0.35">
      <c r="A649" s="2"/>
    </row>
    <row r="650" spans="1:1" x14ac:dyDescent="0.35">
      <c r="A650" s="2"/>
    </row>
    <row r="651" spans="1:1" x14ac:dyDescent="0.35">
      <c r="A651" s="2"/>
    </row>
    <row r="652" spans="1:1" x14ac:dyDescent="0.35">
      <c r="A652" s="2"/>
    </row>
    <row r="653" spans="1:1" x14ac:dyDescent="0.35">
      <c r="A653" s="2"/>
    </row>
    <row r="654" spans="1:1" x14ac:dyDescent="0.35">
      <c r="A654" s="2"/>
    </row>
    <row r="655" spans="1:1" x14ac:dyDescent="0.35">
      <c r="A655" s="2"/>
    </row>
    <row r="656" spans="1:1" x14ac:dyDescent="0.35">
      <c r="A656" s="2"/>
    </row>
    <row r="657" spans="1:1" x14ac:dyDescent="0.35">
      <c r="A657" s="2"/>
    </row>
    <row r="658" spans="1:1" x14ac:dyDescent="0.35">
      <c r="A658" s="2"/>
    </row>
    <row r="659" spans="1:1" x14ac:dyDescent="0.35">
      <c r="A659" s="2"/>
    </row>
    <row r="660" spans="1:1" x14ac:dyDescent="0.35">
      <c r="A660" s="2"/>
    </row>
    <row r="661" spans="1:1" x14ac:dyDescent="0.35">
      <c r="A661" s="2"/>
    </row>
    <row r="662" spans="1:1" x14ac:dyDescent="0.35">
      <c r="A662" s="2"/>
    </row>
    <row r="663" spans="1:1" x14ac:dyDescent="0.35">
      <c r="A663" s="2"/>
    </row>
    <row r="664" spans="1:1" x14ac:dyDescent="0.35">
      <c r="A664" s="2"/>
    </row>
    <row r="665" spans="1:1" x14ac:dyDescent="0.35">
      <c r="A665" s="2"/>
    </row>
    <row r="666" spans="1:1" x14ac:dyDescent="0.35">
      <c r="A666" s="2"/>
    </row>
    <row r="667" spans="1:1" x14ac:dyDescent="0.35">
      <c r="A667" s="2"/>
    </row>
    <row r="668" spans="1:1" x14ac:dyDescent="0.35">
      <c r="A668" s="2"/>
    </row>
    <row r="669" spans="1:1" x14ac:dyDescent="0.35">
      <c r="A669" s="2"/>
    </row>
    <row r="670" spans="1:1" x14ac:dyDescent="0.35">
      <c r="A670" s="2"/>
    </row>
    <row r="671" spans="1:1" x14ac:dyDescent="0.35">
      <c r="A671" s="2"/>
    </row>
    <row r="672" spans="1:1" x14ac:dyDescent="0.35">
      <c r="A672" s="2"/>
    </row>
    <row r="673" spans="1:1" x14ac:dyDescent="0.35">
      <c r="A673" s="2"/>
    </row>
    <row r="674" spans="1:1" x14ac:dyDescent="0.35">
      <c r="A674" s="2"/>
    </row>
    <row r="675" spans="1:1" x14ac:dyDescent="0.35">
      <c r="A675" s="2"/>
    </row>
    <row r="676" spans="1:1" x14ac:dyDescent="0.35">
      <c r="A676" s="2"/>
    </row>
    <row r="677" spans="1:1" x14ac:dyDescent="0.35">
      <c r="A677" s="2"/>
    </row>
    <row r="678" spans="1:1" x14ac:dyDescent="0.35">
      <c r="A678" s="2"/>
    </row>
    <row r="679" spans="1:1" x14ac:dyDescent="0.35">
      <c r="A679" s="2"/>
    </row>
    <row r="680" spans="1:1" x14ac:dyDescent="0.35">
      <c r="A680" s="2"/>
    </row>
    <row r="681" spans="1:1" x14ac:dyDescent="0.35">
      <c r="A681" s="2"/>
    </row>
    <row r="682" spans="1:1" x14ac:dyDescent="0.35">
      <c r="A682" s="2"/>
    </row>
    <row r="683" spans="1:1" x14ac:dyDescent="0.35">
      <c r="A683" s="2"/>
    </row>
    <row r="684" spans="1:1" x14ac:dyDescent="0.35">
      <c r="A684" s="2"/>
    </row>
    <row r="685" spans="1:1" x14ac:dyDescent="0.35">
      <c r="A685" s="2"/>
    </row>
    <row r="686" spans="1:1" x14ac:dyDescent="0.35">
      <c r="A686" s="2"/>
    </row>
    <row r="687" spans="1:1" x14ac:dyDescent="0.35">
      <c r="A687" s="2"/>
    </row>
    <row r="688" spans="1:1" x14ac:dyDescent="0.35">
      <c r="A688" s="2"/>
    </row>
    <row r="689" spans="1:1" x14ac:dyDescent="0.35">
      <c r="A689" s="2"/>
    </row>
    <row r="690" spans="1:1" x14ac:dyDescent="0.35">
      <c r="A690" s="2"/>
    </row>
    <row r="691" spans="1:1" x14ac:dyDescent="0.35">
      <c r="A691" s="2"/>
    </row>
    <row r="692" spans="1:1" x14ac:dyDescent="0.35">
      <c r="A692" s="2"/>
    </row>
    <row r="693" spans="1:1" x14ac:dyDescent="0.35">
      <c r="A693" s="2"/>
    </row>
    <row r="694" spans="1:1" x14ac:dyDescent="0.35">
      <c r="A694" s="2"/>
    </row>
    <row r="695" spans="1:1" x14ac:dyDescent="0.35">
      <c r="A695" s="2"/>
    </row>
    <row r="696" spans="1:1" x14ac:dyDescent="0.35">
      <c r="A696" s="2"/>
    </row>
    <row r="697" spans="1:1" x14ac:dyDescent="0.35">
      <c r="A697" s="2"/>
    </row>
    <row r="698" spans="1:1" x14ac:dyDescent="0.35">
      <c r="A698" s="2"/>
    </row>
    <row r="699" spans="1:1" x14ac:dyDescent="0.35">
      <c r="A699" s="2"/>
    </row>
    <row r="700" spans="1:1" x14ac:dyDescent="0.35">
      <c r="A700" s="2"/>
    </row>
    <row r="701" spans="1:1" x14ac:dyDescent="0.35">
      <c r="A701" s="2"/>
    </row>
    <row r="702" spans="1:1" x14ac:dyDescent="0.35">
      <c r="A702" s="2"/>
    </row>
    <row r="703" spans="1:1" x14ac:dyDescent="0.35">
      <c r="A703" s="2"/>
    </row>
    <row r="704" spans="1:1" x14ac:dyDescent="0.35">
      <c r="A704" s="2"/>
    </row>
    <row r="705" spans="1:1" x14ac:dyDescent="0.35">
      <c r="A705" s="2"/>
    </row>
    <row r="706" spans="1:1" x14ac:dyDescent="0.35">
      <c r="A706" s="2"/>
    </row>
    <row r="707" spans="1:1" x14ac:dyDescent="0.35">
      <c r="A707" s="2"/>
    </row>
    <row r="708" spans="1:1" x14ac:dyDescent="0.35">
      <c r="A708" s="2"/>
    </row>
    <row r="709" spans="1:1" x14ac:dyDescent="0.35">
      <c r="A709" s="2"/>
    </row>
    <row r="710" spans="1:1" x14ac:dyDescent="0.35">
      <c r="A710" s="2"/>
    </row>
    <row r="711" spans="1:1" x14ac:dyDescent="0.35">
      <c r="A711" s="2"/>
    </row>
    <row r="712" spans="1:1" x14ac:dyDescent="0.35">
      <c r="A712" s="2"/>
    </row>
    <row r="713" spans="1:1" x14ac:dyDescent="0.35">
      <c r="A713" s="2"/>
    </row>
    <row r="714" spans="1:1" x14ac:dyDescent="0.35">
      <c r="A714" s="2"/>
    </row>
    <row r="715" spans="1:1" x14ac:dyDescent="0.35">
      <c r="A715" s="2"/>
    </row>
    <row r="716" spans="1:1" x14ac:dyDescent="0.35">
      <c r="A716" s="2"/>
    </row>
    <row r="717" spans="1:1" x14ac:dyDescent="0.35">
      <c r="A717" s="2"/>
    </row>
    <row r="718" spans="1:1" x14ac:dyDescent="0.35">
      <c r="A718" s="2"/>
    </row>
    <row r="719" spans="1:1" x14ac:dyDescent="0.35">
      <c r="A719" s="2"/>
    </row>
    <row r="720" spans="1:1" x14ac:dyDescent="0.35">
      <c r="A720" s="2"/>
    </row>
    <row r="721" spans="1:1" x14ac:dyDescent="0.35">
      <c r="A721" s="2"/>
    </row>
    <row r="722" spans="1:1" x14ac:dyDescent="0.35">
      <c r="A722" s="2"/>
    </row>
    <row r="723" spans="1:1" x14ac:dyDescent="0.35">
      <c r="A723" s="2"/>
    </row>
    <row r="724" spans="1:1" x14ac:dyDescent="0.35">
      <c r="A724" s="2"/>
    </row>
    <row r="725" spans="1:1" x14ac:dyDescent="0.35">
      <c r="A725" s="2"/>
    </row>
    <row r="726" spans="1:1" x14ac:dyDescent="0.35">
      <c r="A726" s="2"/>
    </row>
    <row r="727" spans="1:1" x14ac:dyDescent="0.35">
      <c r="A727" s="2"/>
    </row>
    <row r="728" spans="1:1" x14ac:dyDescent="0.35">
      <c r="A728" s="2"/>
    </row>
    <row r="729" spans="1:1" x14ac:dyDescent="0.35">
      <c r="A729" s="2"/>
    </row>
    <row r="730" spans="1:1" x14ac:dyDescent="0.35">
      <c r="A730" s="2"/>
    </row>
    <row r="731" spans="1:1" x14ac:dyDescent="0.35">
      <c r="A731" s="2"/>
    </row>
    <row r="732" spans="1:1" x14ac:dyDescent="0.35">
      <c r="A732" s="2"/>
    </row>
    <row r="733" spans="1:1" x14ac:dyDescent="0.35">
      <c r="A733" s="2"/>
    </row>
    <row r="734" spans="1:1" x14ac:dyDescent="0.35">
      <c r="A734" s="2"/>
    </row>
    <row r="735" spans="1:1" x14ac:dyDescent="0.35">
      <c r="A735" s="2"/>
    </row>
    <row r="736" spans="1:1" x14ac:dyDescent="0.35">
      <c r="A736" s="2"/>
    </row>
    <row r="737" spans="1:1" x14ac:dyDescent="0.35">
      <c r="A737" s="2"/>
    </row>
    <row r="738" spans="1:1" x14ac:dyDescent="0.35">
      <c r="A738" s="2"/>
    </row>
    <row r="739" spans="1:1" x14ac:dyDescent="0.35">
      <c r="A739" s="2"/>
    </row>
    <row r="740" spans="1:1" x14ac:dyDescent="0.35">
      <c r="A740" s="2"/>
    </row>
    <row r="741" spans="1:1" x14ac:dyDescent="0.35">
      <c r="A741" s="2"/>
    </row>
    <row r="742" spans="1:1" x14ac:dyDescent="0.35">
      <c r="A742" s="2"/>
    </row>
    <row r="743" spans="1:1" x14ac:dyDescent="0.35">
      <c r="A743" s="2"/>
    </row>
    <row r="744" spans="1:1" x14ac:dyDescent="0.35">
      <c r="A744" s="2"/>
    </row>
    <row r="745" spans="1:1" x14ac:dyDescent="0.35">
      <c r="A745" s="2"/>
    </row>
    <row r="746" spans="1:1" x14ac:dyDescent="0.35">
      <c r="A746" s="2"/>
    </row>
    <row r="747" spans="1:1" x14ac:dyDescent="0.35">
      <c r="A747" s="2"/>
    </row>
    <row r="748" spans="1:1" x14ac:dyDescent="0.35">
      <c r="A748" s="2"/>
    </row>
    <row r="749" spans="1:1" x14ac:dyDescent="0.35">
      <c r="A749" s="2"/>
    </row>
    <row r="750" spans="1:1" x14ac:dyDescent="0.35">
      <c r="A750" s="2"/>
    </row>
    <row r="751" spans="1:1" x14ac:dyDescent="0.35">
      <c r="A751" s="2"/>
    </row>
    <row r="752" spans="1:1" x14ac:dyDescent="0.35">
      <c r="A752" s="2"/>
    </row>
    <row r="753" spans="1:1" x14ac:dyDescent="0.35">
      <c r="A753" s="2"/>
    </row>
    <row r="754" spans="1:1" x14ac:dyDescent="0.35">
      <c r="A754" s="2"/>
    </row>
    <row r="755" spans="1:1" x14ac:dyDescent="0.35">
      <c r="A755" s="2"/>
    </row>
    <row r="756" spans="1:1" x14ac:dyDescent="0.35">
      <c r="A756" s="2"/>
    </row>
    <row r="757" spans="1:1" x14ac:dyDescent="0.35">
      <c r="A757" s="2"/>
    </row>
    <row r="758" spans="1:1" x14ac:dyDescent="0.35">
      <c r="A758" s="2"/>
    </row>
    <row r="759" spans="1:1" x14ac:dyDescent="0.35">
      <c r="A759" s="2"/>
    </row>
    <row r="760" spans="1:1" x14ac:dyDescent="0.35">
      <c r="A760" s="2"/>
    </row>
    <row r="761" spans="1:1" x14ac:dyDescent="0.35">
      <c r="A761" s="2"/>
    </row>
    <row r="762" spans="1:1" x14ac:dyDescent="0.35">
      <c r="A762" s="2"/>
    </row>
    <row r="763" spans="1:1" x14ac:dyDescent="0.35">
      <c r="A763" s="2"/>
    </row>
    <row r="764" spans="1:1" x14ac:dyDescent="0.35">
      <c r="A764" s="2"/>
    </row>
    <row r="765" spans="1:1" x14ac:dyDescent="0.35">
      <c r="A765" s="2"/>
    </row>
    <row r="766" spans="1:1" x14ac:dyDescent="0.35">
      <c r="A766" s="2"/>
    </row>
    <row r="767" spans="1:1" x14ac:dyDescent="0.35">
      <c r="A767" s="2"/>
    </row>
    <row r="768" spans="1:1" x14ac:dyDescent="0.35">
      <c r="A768" s="2"/>
    </row>
    <row r="769" spans="1:1" x14ac:dyDescent="0.35">
      <c r="A769" s="2"/>
    </row>
    <row r="770" spans="1:1" x14ac:dyDescent="0.35">
      <c r="A770" s="2"/>
    </row>
    <row r="771" spans="1:1" x14ac:dyDescent="0.35">
      <c r="A771" s="2"/>
    </row>
    <row r="772" spans="1:1" x14ac:dyDescent="0.35">
      <c r="A772" s="2"/>
    </row>
    <row r="773" spans="1:1" x14ac:dyDescent="0.35">
      <c r="A773" s="2"/>
    </row>
    <row r="774" spans="1:1" x14ac:dyDescent="0.35">
      <c r="A774" s="2"/>
    </row>
    <row r="775" spans="1:1" x14ac:dyDescent="0.35">
      <c r="A775" s="2"/>
    </row>
    <row r="776" spans="1:1" x14ac:dyDescent="0.35">
      <c r="A776" s="2"/>
    </row>
    <row r="777" spans="1:1" x14ac:dyDescent="0.35">
      <c r="A777" s="2"/>
    </row>
    <row r="778" spans="1:1" x14ac:dyDescent="0.35">
      <c r="A778" s="2"/>
    </row>
    <row r="779" spans="1:1" x14ac:dyDescent="0.35">
      <c r="A779" s="2"/>
    </row>
    <row r="780" spans="1:1" x14ac:dyDescent="0.35">
      <c r="A780" s="2"/>
    </row>
    <row r="781" spans="1:1" x14ac:dyDescent="0.35">
      <c r="A781" s="2"/>
    </row>
    <row r="782" spans="1:1" x14ac:dyDescent="0.35">
      <c r="A782" s="2"/>
    </row>
    <row r="783" spans="1:1" x14ac:dyDescent="0.35">
      <c r="A783" s="2"/>
    </row>
    <row r="784" spans="1:1" x14ac:dyDescent="0.35">
      <c r="A784" s="2"/>
    </row>
    <row r="785" spans="1:1" x14ac:dyDescent="0.35">
      <c r="A785" s="2"/>
    </row>
    <row r="786" spans="1:1" x14ac:dyDescent="0.35">
      <c r="A786" s="2"/>
    </row>
    <row r="787" spans="1:1" x14ac:dyDescent="0.35">
      <c r="A787" s="2"/>
    </row>
    <row r="788" spans="1:1" x14ac:dyDescent="0.35">
      <c r="A788" s="2"/>
    </row>
    <row r="789" spans="1:1" x14ac:dyDescent="0.35">
      <c r="A789" s="2"/>
    </row>
    <row r="790" spans="1:1" x14ac:dyDescent="0.35">
      <c r="A790" s="2"/>
    </row>
    <row r="791" spans="1:1" x14ac:dyDescent="0.35">
      <c r="A791" s="2"/>
    </row>
    <row r="792" spans="1:1" x14ac:dyDescent="0.35">
      <c r="A792" s="2"/>
    </row>
    <row r="793" spans="1:1" x14ac:dyDescent="0.35">
      <c r="A793" s="2"/>
    </row>
    <row r="794" spans="1:1" x14ac:dyDescent="0.35">
      <c r="A794" s="2"/>
    </row>
    <row r="795" spans="1:1" x14ac:dyDescent="0.35">
      <c r="A795" s="2"/>
    </row>
    <row r="796" spans="1:1" x14ac:dyDescent="0.35">
      <c r="A796" s="2"/>
    </row>
    <row r="797" spans="1:1" x14ac:dyDescent="0.35">
      <c r="A797" s="2"/>
    </row>
    <row r="798" spans="1:1" x14ac:dyDescent="0.35">
      <c r="A798" s="2"/>
    </row>
    <row r="799" spans="1:1" x14ac:dyDescent="0.35">
      <c r="A799" s="2"/>
    </row>
    <row r="800" spans="1:1" x14ac:dyDescent="0.35">
      <c r="A800" s="2"/>
    </row>
    <row r="801" spans="1:1" x14ac:dyDescent="0.35">
      <c r="A801" s="2"/>
    </row>
    <row r="802" spans="1:1" x14ac:dyDescent="0.35">
      <c r="A802" s="2"/>
    </row>
    <row r="803" spans="1:1" x14ac:dyDescent="0.35">
      <c r="A803" s="2"/>
    </row>
    <row r="804" spans="1:1" x14ac:dyDescent="0.35">
      <c r="A804" s="2"/>
    </row>
    <row r="805" spans="1:1" x14ac:dyDescent="0.35">
      <c r="A805" s="2"/>
    </row>
    <row r="806" spans="1:1" x14ac:dyDescent="0.35">
      <c r="A806" s="2"/>
    </row>
    <row r="807" spans="1:1" x14ac:dyDescent="0.35">
      <c r="A807" s="2"/>
    </row>
    <row r="808" spans="1:1" x14ac:dyDescent="0.35">
      <c r="A808" s="2"/>
    </row>
    <row r="809" spans="1:1" x14ac:dyDescent="0.35">
      <c r="A809" s="2"/>
    </row>
    <row r="810" spans="1:1" x14ac:dyDescent="0.35">
      <c r="A810" s="2"/>
    </row>
    <row r="811" spans="1:1" x14ac:dyDescent="0.35">
      <c r="A811" s="2"/>
    </row>
    <row r="812" spans="1:1" x14ac:dyDescent="0.35">
      <c r="A812" s="2"/>
    </row>
    <row r="813" spans="1:1" x14ac:dyDescent="0.35">
      <c r="A813" s="2"/>
    </row>
    <row r="814" spans="1:1" x14ac:dyDescent="0.35">
      <c r="A814" s="2"/>
    </row>
    <row r="815" spans="1:1" x14ac:dyDescent="0.35">
      <c r="A815" s="2"/>
    </row>
    <row r="816" spans="1:1" x14ac:dyDescent="0.35">
      <c r="A816" s="2"/>
    </row>
    <row r="817" spans="1:1" x14ac:dyDescent="0.35">
      <c r="A817" s="2"/>
    </row>
    <row r="818" spans="1:1" x14ac:dyDescent="0.35">
      <c r="A818" s="2"/>
    </row>
    <row r="819" spans="1:1" x14ac:dyDescent="0.35">
      <c r="A819" s="2"/>
    </row>
    <row r="820" spans="1:1" x14ac:dyDescent="0.35">
      <c r="A820" s="2"/>
    </row>
    <row r="821" spans="1:1" x14ac:dyDescent="0.35">
      <c r="A821" s="2"/>
    </row>
    <row r="822" spans="1:1" x14ac:dyDescent="0.35">
      <c r="A822" s="2"/>
    </row>
    <row r="823" spans="1:1" x14ac:dyDescent="0.35">
      <c r="A823" s="2"/>
    </row>
    <row r="824" spans="1:1" x14ac:dyDescent="0.35">
      <c r="A824" s="2"/>
    </row>
    <row r="825" spans="1:1" x14ac:dyDescent="0.35">
      <c r="A825" s="2"/>
    </row>
    <row r="826" spans="1:1" x14ac:dyDescent="0.35">
      <c r="A826" s="2"/>
    </row>
    <row r="827" spans="1:1" x14ac:dyDescent="0.35">
      <c r="A827" s="2"/>
    </row>
    <row r="828" spans="1:1" x14ac:dyDescent="0.35">
      <c r="A828" s="2"/>
    </row>
    <row r="829" spans="1:1" x14ac:dyDescent="0.35">
      <c r="A829" s="2"/>
    </row>
    <row r="830" spans="1:1" x14ac:dyDescent="0.35">
      <c r="A830" s="2"/>
    </row>
    <row r="831" spans="1:1" x14ac:dyDescent="0.35">
      <c r="A831" s="2"/>
    </row>
    <row r="832" spans="1:1" x14ac:dyDescent="0.35">
      <c r="A832" s="2"/>
    </row>
    <row r="833" spans="1:1" x14ac:dyDescent="0.35">
      <c r="A833" s="2"/>
    </row>
    <row r="834" spans="1:1" x14ac:dyDescent="0.35">
      <c r="A834" s="2"/>
    </row>
    <row r="835" spans="1:1" x14ac:dyDescent="0.35">
      <c r="A835" s="2"/>
    </row>
    <row r="836" spans="1:1" x14ac:dyDescent="0.35">
      <c r="A836" s="2"/>
    </row>
    <row r="837" spans="1:1" x14ac:dyDescent="0.35">
      <c r="A837" s="2"/>
    </row>
    <row r="838" spans="1:1" x14ac:dyDescent="0.35">
      <c r="A838" s="2"/>
    </row>
    <row r="839" spans="1:1" x14ac:dyDescent="0.35">
      <c r="A839" s="2"/>
    </row>
    <row r="840" spans="1:1" x14ac:dyDescent="0.35">
      <c r="A840" s="2"/>
    </row>
    <row r="841" spans="1:1" x14ac:dyDescent="0.35">
      <c r="A841" s="2"/>
    </row>
    <row r="842" spans="1:1" x14ac:dyDescent="0.35">
      <c r="A842" s="2"/>
    </row>
    <row r="843" spans="1:1" x14ac:dyDescent="0.35">
      <c r="A843" s="2"/>
    </row>
    <row r="844" spans="1:1" x14ac:dyDescent="0.35">
      <c r="A844" s="2"/>
    </row>
    <row r="845" spans="1:1" x14ac:dyDescent="0.35">
      <c r="A845" s="2"/>
    </row>
    <row r="846" spans="1:1" x14ac:dyDescent="0.35">
      <c r="A846" s="2"/>
    </row>
    <row r="847" spans="1:1" x14ac:dyDescent="0.35">
      <c r="A847" s="2"/>
    </row>
    <row r="848" spans="1:1" x14ac:dyDescent="0.35">
      <c r="A848" s="2"/>
    </row>
    <row r="849" spans="1:1" x14ac:dyDescent="0.35">
      <c r="A849" s="2"/>
    </row>
    <row r="850" spans="1:1" x14ac:dyDescent="0.35">
      <c r="A850" s="2"/>
    </row>
    <row r="851" spans="1:1" x14ac:dyDescent="0.35">
      <c r="A851" s="2"/>
    </row>
    <row r="852" spans="1:1" x14ac:dyDescent="0.35">
      <c r="A852" s="2"/>
    </row>
    <row r="853" spans="1:1" x14ac:dyDescent="0.35">
      <c r="A853" s="2"/>
    </row>
    <row r="854" spans="1:1" x14ac:dyDescent="0.35">
      <c r="A854" s="2"/>
    </row>
    <row r="855" spans="1:1" x14ac:dyDescent="0.35">
      <c r="A855" s="2"/>
    </row>
    <row r="856" spans="1:1" x14ac:dyDescent="0.35">
      <c r="A856" s="2"/>
    </row>
    <row r="857" spans="1:1" x14ac:dyDescent="0.35">
      <c r="A857" s="2"/>
    </row>
    <row r="858" spans="1:1" x14ac:dyDescent="0.35">
      <c r="A858" s="2"/>
    </row>
    <row r="859" spans="1:1" x14ac:dyDescent="0.35">
      <c r="A859" s="2"/>
    </row>
    <row r="860" spans="1:1" x14ac:dyDescent="0.35">
      <c r="A860" s="2"/>
    </row>
    <row r="861" spans="1:1" x14ac:dyDescent="0.35">
      <c r="A861" s="2"/>
    </row>
    <row r="862" spans="1:1" x14ac:dyDescent="0.35">
      <c r="A862" s="2"/>
    </row>
    <row r="863" spans="1:1" x14ac:dyDescent="0.35">
      <c r="A863" s="2"/>
    </row>
    <row r="864" spans="1:1" x14ac:dyDescent="0.35">
      <c r="A864" s="2"/>
    </row>
    <row r="865" spans="1:1" x14ac:dyDescent="0.35">
      <c r="A865" s="2"/>
    </row>
    <row r="866" spans="1:1" x14ac:dyDescent="0.35">
      <c r="A866" s="2"/>
    </row>
    <row r="867" spans="1:1" x14ac:dyDescent="0.35">
      <c r="A867" s="2"/>
    </row>
    <row r="868" spans="1:1" x14ac:dyDescent="0.35">
      <c r="A868" s="2"/>
    </row>
    <row r="869" spans="1:1" x14ac:dyDescent="0.35">
      <c r="A869" s="2"/>
    </row>
    <row r="870" spans="1:1" x14ac:dyDescent="0.35">
      <c r="A870" s="2"/>
    </row>
    <row r="871" spans="1:1" x14ac:dyDescent="0.35">
      <c r="A871" s="2"/>
    </row>
    <row r="872" spans="1:1" x14ac:dyDescent="0.35">
      <c r="A872" s="2"/>
    </row>
    <row r="873" spans="1:1" x14ac:dyDescent="0.35">
      <c r="A873" s="2"/>
    </row>
    <row r="874" spans="1:1" x14ac:dyDescent="0.35">
      <c r="A874" s="2"/>
    </row>
    <row r="875" spans="1:1" x14ac:dyDescent="0.35">
      <c r="A875" s="2"/>
    </row>
    <row r="876" spans="1:1" x14ac:dyDescent="0.35">
      <c r="A876" s="2"/>
    </row>
    <row r="877" spans="1:1" x14ac:dyDescent="0.35">
      <c r="A877" s="2"/>
    </row>
    <row r="878" spans="1:1" x14ac:dyDescent="0.35">
      <c r="A878" s="2"/>
    </row>
    <row r="879" spans="1:1" x14ac:dyDescent="0.35">
      <c r="A879" s="2"/>
    </row>
    <row r="880" spans="1:1" x14ac:dyDescent="0.35">
      <c r="A880" s="2"/>
    </row>
    <row r="881" spans="1:1" x14ac:dyDescent="0.35">
      <c r="A881" s="2"/>
    </row>
    <row r="882" spans="1:1" x14ac:dyDescent="0.35">
      <c r="A882" s="2"/>
    </row>
    <row r="883" spans="1:1" x14ac:dyDescent="0.35">
      <c r="A883" s="2"/>
    </row>
    <row r="884" spans="1:1" x14ac:dyDescent="0.35">
      <c r="A884" s="2"/>
    </row>
    <row r="885" spans="1:1" x14ac:dyDescent="0.35">
      <c r="A885" s="2"/>
    </row>
    <row r="886" spans="1:1" x14ac:dyDescent="0.35">
      <c r="A886" s="2"/>
    </row>
    <row r="887" spans="1:1" x14ac:dyDescent="0.35">
      <c r="A887" s="2"/>
    </row>
    <row r="888" spans="1:1" x14ac:dyDescent="0.35">
      <c r="A888" s="2"/>
    </row>
    <row r="889" spans="1:1" x14ac:dyDescent="0.35">
      <c r="A889" s="2"/>
    </row>
    <row r="890" spans="1:1" x14ac:dyDescent="0.35">
      <c r="A890" s="2"/>
    </row>
    <row r="891" spans="1:1" x14ac:dyDescent="0.35">
      <c r="A891" s="2"/>
    </row>
    <row r="892" spans="1:1" x14ac:dyDescent="0.35">
      <c r="A892" s="2"/>
    </row>
    <row r="893" spans="1:1" x14ac:dyDescent="0.35">
      <c r="A893" s="2"/>
    </row>
    <row r="894" spans="1:1" x14ac:dyDescent="0.35">
      <c r="A894" s="2"/>
    </row>
    <row r="895" spans="1:1" x14ac:dyDescent="0.35">
      <c r="A895" s="2"/>
    </row>
    <row r="896" spans="1:1" x14ac:dyDescent="0.35">
      <c r="A896" s="2"/>
    </row>
    <row r="897" spans="1:1" x14ac:dyDescent="0.35">
      <c r="A897" s="2"/>
    </row>
    <row r="898" spans="1:1" x14ac:dyDescent="0.35">
      <c r="A898" s="2"/>
    </row>
    <row r="899" spans="1:1" x14ac:dyDescent="0.35">
      <c r="A899" s="2"/>
    </row>
    <row r="900" spans="1:1" x14ac:dyDescent="0.35">
      <c r="A900" s="2"/>
    </row>
    <row r="901" spans="1:1" x14ac:dyDescent="0.35">
      <c r="A901" s="2"/>
    </row>
    <row r="902" spans="1:1" x14ac:dyDescent="0.35">
      <c r="A902" s="2"/>
    </row>
    <row r="903" spans="1:1" x14ac:dyDescent="0.35">
      <c r="A903" s="2"/>
    </row>
    <row r="904" spans="1:1" x14ac:dyDescent="0.35">
      <c r="A904" s="2"/>
    </row>
    <row r="905" spans="1:1" x14ac:dyDescent="0.35">
      <c r="A905" s="2"/>
    </row>
    <row r="906" spans="1:1" x14ac:dyDescent="0.35">
      <c r="A906" s="2"/>
    </row>
    <row r="907" spans="1:1" x14ac:dyDescent="0.35">
      <c r="A907" s="2"/>
    </row>
    <row r="908" spans="1:1" x14ac:dyDescent="0.35">
      <c r="A908" s="2"/>
    </row>
    <row r="909" spans="1:1" x14ac:dyDescent="0.35">
      <c r="A909" s="2"/>
    </row>
    <row r="910" spans="1:1" x14ac:dyDescent="0.35">
      <c r="A910" s="2"/>
    </row>
    <row r="911" spans="1:1" x14ac:dyDescent="0.35">
      <c r="A911" s="2"/>
    </row>
    <row r="912" spans="1:1" x14ac:dyDescent="0.35">
      <c r="A912" s="2"/>
    </row>
    <row r="913" spans="1:1" x14ac:dyDescent="0.35">
      <c r="A913" s="2"/>
    </row>
    <row r="914" spans="1:1" x14ac:dyDescent="0.35">
      <c r="A914" s="2"/>
    </row>
    <row r="915" spans="1:1" x14ac:dyDescent="0.35">
      <c r="A915" s="2"/>
    </row>
    <row r="916" spans="1:1" x14ac:dyDescent="0.35">
      <c r="A916" s="2"/>
    </row>
    <row r="917" spans="1:1" x14ac:dyDescent="0.35">
      <c r="A917" s="2"/>
    </row>
    <row r="918" spans="1:1" x14ac:dyDescent="0.35">
      <c r="A918" s="2"/>
    </row>
    <row r="919" spans="1:1" x14ac:dyDescent="0.35">
      <c r="A919" s="2"/>
    </row>
    <row r="920" spans="1:1" x14ac:dyDescent="0.35">
      <c r="A920" s="2"/>
    </row>
    <row r="921" spans="1:1" x14ac:dyDescent="0.35">
      <c r="A921" s="2"/>
    </row>
    <row r="922" spans="1:1" x14ac:dyDescent="0.35">
      <c r="A922" s="2"/>
    </row>
    <row r="923" spans="1:1" x14ac:dyDescent="0.35">
      <c r="A923" s="2"/>
    </row>
    <row r="924" spans="1:1" x14ac:dyDescent="0.35">
      <c r="A924" s="2"/>
    </row>
    <row r="925" spans="1:1" x14ac:dyDescent="0.35">
      <c r="A925" s="2"/>
    </row>
    <row r="926" spans="1:1" x14ac:dyDescent="0.35">
      <c r="A926" s="2"/>
    </row>
    <row r="927" spans="1:1" x14ac:dyDescent="0.35">
      <c r="A927" s="2"/>
    </row>
    <row r="928" spans="1:1" x14ac:dyDescent="0.35">
      <c r="A928" s="2"/>
    </row>
    <row r="929" spans="1:1" x14ac:dyDescent="0.35">
      <c r="A929" s="2"/>
    </row>
    <row r="930" spans="1:1" x14ac:dyDescent="0.35">
      <c r="A930" s="2"/>
    </row>
    <row r="931" spans="1:1" x14ac:dyDescent="0.35">
      <c r="A931" s="2"/>
    </row>
    <row r="932" spans="1:1" x14ac:dyDescent="0.35">
      <c r="A932" s="2"/>
    </row>
    <row r="933" spans="1:1" x14ac:dyDescent="0.35">
      <c r="A933" s="2"/>
    </row>
    <row r="934" spans="1:1" x14ac:dyDescent="0.35">
      <c r="A934" s="2"/>
    </row>
    <row r="935" spans="1:1" x14ac:dyDescent="0.35">
      <c r="A935" s="2"/>
    </row>
    <row r="936" spans="1:1" x14ac:dyDescent="0.35">
      <c r="A936" s="2"/>
    </row>
    <row r="937" spans="1:1" x14ac:dyDescent="0.35">
      <c r="A937" s="2"/>
    </row>
    <row r="938" spans="1:1" x14ac:dyDescent="0.35">
      <c r="A938" s="2"/>
    </row>
    <row r="939" spans="1:1" x14ac:dyDescent="0.35">
      <c r="A939" s="2"/>
    </row>
    <row r="940" spans="1:1" x14ac:dyDescent="0.35">
      <c r="A940" s="2"/>
    </row>
    <row r="941" spans="1:1" x14ac:dyDescent="0.35">
      <c r="A941" s="2"/>
    </row>
    <row r="942" spans="1:1" x14ac:dyDescent="0.35">
      <c r="A942" s="2"/>
    </row>
    <row r="943" spans="1:1" x14ac:dyDescent="0.35">
      <c r="A943" s="2"/>
    </row>
    <row r="944" spans="1:1" x14ac:dyDescent="0.35">
      <c r="A944" s="2"/>
    </row>
    <row r="945" spans="1:1" x14ac:dyDescent="0.35">
      <c r="A945" s="2"/>
    </row>
    <row r="946" spans="1:1" x14ac:dyDescent="0.35">
      <c r="A946" s="2"/>
    </row>
    <row r="947" spans="1:1" x14ac:dyDescent="0.35">
      <c r="A947" s="2"/>
    </row>
    <row r="948" spans="1:1" x14ac:dyDescent="0.35">
      <c r="A948" s="2"/>
    </row>
    <row r="949" spans="1:1" x14ac:dyDescent="0.35">
      <c r="A949" s="2"/>
    </row>
    <row r="950" spans="1:1" x14ac:dyDescent="0.35">
      <c r="A950" s="2"/>
    </row>
    <row r="951" spans="1:1" x14ac:dyDescent="0.35">
      <c r="A951" s="2"/>
    </row>
    <row r="952" spans="1:1" x14ac:dyDescent="0.35">
      <c r="A952" s="2"/>
    </row>
    <row r="953" spans="1:1" x14ac:dyDescent="0.35">
      <c r="A953" s="2"/>
    </row>
    <row r="954" spans="1:1" x14ac:dyDescent="0.35">
      <c r="A954" s="2"/>
    </row>
    <row r="955" spans="1:1" x14ac:dyDescent="0.35">
      <c r="A955" s="2"/>
    </row>
    <row r="956" spans="1:1" x14ac:dyDescent="0.35">
      <c r="A956" s="2"/>
    </row>
    <row r="957" spans="1:1" x14ac:dyDescent="0.35">
      <c r="A957" s="2"/>
    </row>
    <row r="958" spans="1:1" x14ac:dyDescent="0.35">
      <c r="A958" s="2"/>
    </row>
    <row r="959" spans="1:1" x14ac:dyDescent="0.35">
      <c r="A959" s="2"/>
    </row>
    <row r="960" spans="1:1" x14ac:dyDescent="0.35">
      <c r="A960" s="2"/>
    </row>
    <row r="961" spans="1:1" x14ac:dyDescent="0.35">
      <c r="A961" s="2"/>
    </row>
    <row r="962" spans="1:1" x14ac:dyDescent="0.35">
      <c r="A962" s="2"/>
    </row>
    <row r="963" spans="1:1" x14ac:dyDescent="0.35">
      <c r="A963" s="2"/>
    </row>
    <row r="964" spans="1:1" x14ac:dyDescent="0.35">
      <c r="A964" s="2"/>
    </row>
    <row r="965" spans="1:1" x14ac:dyDescent="0.35">
      <c r="A965" s="2"/>
    </row>
    <row r="966" spans="1:1" x14ac:dyDescent="0.35">
      <c r="A966" s="2"/>
    </row>
    <row r="967" spans="1:1" x14ac:dyDescent="0.35">
      <c r="A967" s="2"/>
    </row>
    <row r="968" spans="1:1" x14ac:dyDescent="0.35">
      <c r="A968" s="2"/>
    </row>
    <row r="969" spans="1:1" x14ac:dyDescent="0.35">
      <c r="A969" s="2"/>
    </row>
    <row r="970" spans="1:1" x14ac:dyDescent="0.35">
      <c r="A970" s="2"/>
    </row>
    <row r="971" spans="1:1" x14ac:dyDescent="0.35">
      <c r="A971" s="2"/>
    </row>
    <row r="972" spans="1:1" x14ac:dyDescent="0.35">
      <c r="A972" s="2"/>
    </row>
    <row r="973" spans="1:1" x14ac:dyDescent="0.35">
      <c r="A973" s="2"/>
    </row>
    <row r="974" spans="1:1" x14ac:dyDescent="0.35">
      <c r="A974" s="2"/>
    </row>
    <row r="975" spans="1:1" x14ac:dyDescent="0.35">
      <c r="A975" s="2"/>
    </row>
    <row r="976" spans="1:1" x14ac:dyDescent="0.35">
      <c r="A976" s="2"/>
    </row>
    <row r="977" spans="1:1" x14ac:dyDescent="0.35">
      <c r="A977" s="2"/>
    </row>
    <row r="978" spans="1:1" x14ac:dyDescent="0.35">
      <c r="A978" s="2"/>
    </row>
    <row r="979" spans="1:1" x14ac:dyDescent="0.35">
      <c r="A979" s="2"/>
    </row>
    <row r="980" spans="1:1" x14ac:dyDescent="0.35">
      <c r="A980" s="2"/>
    </row>
    <row r="981" spans="1:1" x14ac:dyDescent="0.35">
      <c r="A981" s="2"/>
    </row>
    <row r="982" spans="1:1" x14ac:dyDescent="0.35">
      <c r="A982" s="2"/>
    </row>
    <row r="983" spans="1:1" x14ac:dyDescent="0.35">
      <c r="A983" s="2"/>
    </row>
    <row r="984" spans="1:1" x14ac:dyDescent="0.35">
      <c r="A984" s="2"/>
    </row>
    <row r="985" spans="1:1" x14ac:dyDescent="0.35">
      <c r="A985" s="2"/>
    </row>
    <row r="986" spans="1:1" x14ac:dyDescent="0.35">
      <c r="A986" s="2"/>
    </row>
    <row r="987" spans="1:1" x14ac:dyDescent="0.35">
      <c r="A987" s="2"/>
    </row>
    <row r="988" spans="1:1" x14ac:dyDescent="0.35">
      <c r="A988" s="2"/>
    </row>
    <row r="989" spans="1:1" x14ac:dyDescent="0.35">
      <c r="A989" s="2"/>
    </row>
    <row r="990" spans="1:1" x14ac:dyDescent="0.35">
      <c r="A990" s="2"/>
    </row>
    <row r="991" spans="1:1" x14ac:dyDescent="0.35">
      <c r="A991" s="2"/>
    </row>
    <row r="992" spans="1:1" x14ac:dyDescent="0.35">
      <c r="A992" s="2"/>
    </row>
    <row r="993" spans="1:1" x14ac:dyDescent="0.35">
      <c r="A993" s="2"/>
    </row>
    <row r="994" spans="1:1" x14ac:dyDescent="0.35">
      <c r="A994" s="2"/>
    </row>
    <row r="995" spans="1:1" x14ac:dyDescent="0.35">
      <c r="A995" s="2"/>
    </row>
    <row r="996" spans="1:1" x14ac:dyDescent="0.35">
      <c r="A996" s="2"/>
    </row>
    <row r="997" spans="1:1" x14ac:dyDescent="0.35">
      <c r="A997" s="2"/>
    </row>
    <row r="998" spans="1:1" x14ac:dyDescent="0.35">
      <c r="A998" s="2"/>
    </row>
    <row r="999" spans="1:1" x14ac:dyDescent="0.35">
      <c r="A999" s="2"/>
    </row>
    <row r="1000" spans="1:1" x14ac:dyDescent="0.35">
      <c r="A1000" s="2"/>
    </row>
    <row r="1001" spans="1:1" x14ac:dyDescent="0.35">
      <c r="A1001" s="2"/>
    </row>
    <row r="1002" spans="1:1" x14ac:dyDescent="0.35">
      <c r="A1002" s="2"/>
    </row>
    <row r="1003" spans="1:1" x14ac:dyDescent="0.35">
      <c r="A1003" s="2"/>
    </row>
    <row r="1004" spans="1:1" x14ac:dyDescent="0.35">
      <c r="A1004" s="2"/>
    </row>
    <row r="1005" spans="1:1" x14ac:dyDescent="0.35">
      <c r="A1005" s="2"/>
    </row>
    <row r="1006" spans="1:1" x14ac:dyDescent="0.35">
      <c r="A1006" s="2"/>
    </row>
    <row r="1007" spans="1:1" x14ac:dyDescent="0.35">
      <c r="A1007" s="2"/>
    </row>
    <row r="1008" spans="1:1" x14ac:dyDescent="0.35">
      <c r="A1008" s="2"/>
    </row>
    <row r="1009" spans="1:1" x14ac:dyDescent="0.35">
      <c r="A1009" s="2"/>
    </row>
    <row r="1010" spans="1:1" x14ac:dyDescent="0.35">
      <c r="A1010" s="2"/>
    </row>
    <row r="1011" spans="1:1" x14ac:dyDescent="0.35">
      <c r="A1011" s="2"/>
    </row>
    <row r="1012" spans="1:1" x14ac:dyDescent="0.35">
      <c r="A1012" s="2"/>
    </row>
    <row r="1013" spans="1:1" x14ac:dyDescent="0.35">
      <c r="A1013" s="2"/>
    </row>
    <row r="1014" spans="1:1" x14ac:dyDescent="0.35">
      <c r="A1014" s="2"/>
    </row>
    <row r="1015" spans="1:1" x14ac:dyDescent="0.35">
      <c r="A1015" s="2"/>
    </row>
    <row r="1016" spans="1:1" x14ac:dyDescent="0.35">
      <c r="A1016" s="2"/>
    </row>
    <row r="1017" spans="1:1" x14ac:dyDescent="0.35">
      <c r="A1017" s="2"/>
    </row>
    <row r="1018" spans="1:1" x14ac:dyDescent="0.35">
      <c r="A1018" s="2"/>
    </row>
    <row r="1019" spans="1:1" x14ac:dyDescent="0.35">
      <c r="A1019" s="2"/>
    </row>
    <row r="1020" spans="1:1" x14ac:dyDescent="0.35">
      <c r="A1020" s="2"/>
    </row>
    <row r="1021" spans="1:1" x14ac:dyDescent="0.35">
      <c r="A1021" s="2"/>
    </row>
    <row r="1022" spans="1:1" x14ac:dyDescent="0.35">
      <c r="A1022" s="2"/>
    </row>
    <row r="1023" spans="1:1" x14ac:dyDescent="0.35">
      <c r="A1023" s="2"/>
    </row>
    <row r="1024" spans="1:1" x14ac:dyDescent="0.35">
      <c r="A1024" s="2"/>
    </row>
    <row r="1025" spans="1:1" x14ac:dyDescent="0.35">
      <c r="A1025" s="2"/>
    </row>
    <row r="1026" spans="1:1" x14ac:dyDescent="0.35">
      <c r="A1026" s="2"/>
    </row>
    <row r="1027" spans="1:1" x14ac:dyDescent="0.35">
      <c r="A1027" s="2"/>
    </row>
    <row r="1028" spans="1:1" x14ac:dyDescent="0.35">
      <c r="A1028" s="2"/>
    </row>
    <row r="1029" spans="1:1" x14ac:dyDescent="0.35">
      <c r="A1029" s="2"/>
    </row>
    <row r="1030" spans="1:1" x14ac:dyDescent="0.35">
      <c r="A1030" s="2"/>
    </row>
    <row r="1031" spans="1:1" x14ac:dyDescent="0.35">
      <c r="A1031" s="2"/>
    </row>
    <row r="1032" spans="1:1" x14ac:dyDescent="0.35">
      <c r="A1032" s="2"/>
    </row>
    <row r="1033" spans="1:1" x14ac:dyDescent="0.35">
      <c r="A1033" s="2"/>
    </row>
    <row r="1034" spans="1:1" x14ac:dyDescent="0.35">
      <c r="A1034" s="2"/>
    </row>
    <row r="1035" spans="1:1" x14ac:dyDescent="0.35">
      <c r="A1035" s="2"/>
    </row>
    <row r="1036" spans="1:1" x14ac:dyDescent="0.35">
      <c r="A1036" s="2"/>
    </row>
    <row r="1037" spans="1:1" x14ac:dyDescent="0.35">
      <c r="A1037" s="2"/>
    </row>
    <row r="1038" spans="1:1" x14ac:dyDescent="0.35">
      <c r="A1038" s="2"/>
    </row>
    <row r="1039" spans="1:1" x14ac:dyDescent="0.35">
      <c r="A1039" s="2"/>
    </row>
    <row r="1040" spans="1:1" x14ac:dyDescent="0.35">
      <c r="A1040" s="2"/>
    </row>
    <row r="1041" spans="1:1" x14ac:dyDescent="0.35">
      <c r="A1041" s="2"/>
    </row>
    <row r="1042" spans="1:1" x14ac:dyDescent="0.35">
      <c r="A1042" s="2"/>
    </row>
    <row r="1043" spans="1:1" x14ac:dyDescent="0.35">
      <c r="A1043" s="2"/>
    </row>
    <row r="1044" spans="1:1" x14ac:dyDescent="0.35">
      <c r="A1044" s="2"/>
    </row>
    <row r="1045" spans="1:1" x14ac:dyDescent="0.35">
      <c r="A1045" s="2"/>
    </row>
    <row r="1046" spans="1:1" x14ac:dyDescent="0.35">
      <c r="A1046" s="2"/>
    </row>
    <row r="1047" spans="1:1" x14ac:dyDescent="0.35">
      <c r="A1047" s="2"/>
    </row>
    <row r="1048" spans="1:1" x14ac:dyDescent="0.35">
      <c r="A1048" s="2"/>
    </row>
    <row r="1049" spans="1:1" x14ac:dyDescent="0.35">
      <c r="A1049" s="2"/>
    </row>
    <row r="1050" spans="1:1" x14ac:dyDescent="0.35">
      <c r="A1050" s="2"/>
    </row>
    <row r="1051" spans="1:1" x14ac:dyDescent="0.35">
      <c r="A1051" s="2"/>
    </row>
    <row r="1052" spans="1:1" x14ac:dyDescent="0.35">
      <c r="A1052" s="2"/>
    </row>
    <row r="1053" spans="1:1" x14ac:dyDescent="0.35">
      <c r="A1053" s="2"/>
    </row>
    <row r="1054" spans="1:1" x14ac:dyDescent="0.35">
      <c r="A1054" s="2"/>
    </row>
    <row r="1055" spans="1:1" x14ac:dyDescent="0.35">
      <c r="A1055" s="2"/>
    </row>
    <row r="1056" spans="1:1" x14ac:dyDescent="0.35">
      <c r="A1056" s="2"/>
    </row>
    <row r="1057" spans="1:1" x14ac:dyDescent="0.35">
      <c r="A1057" s="2"/>
    </row>
    <row r="1058" spans="1:1" x14ac:dyDescent="0.35">
      <c r="A1058" s="2"/>
    </row>
    <row r="1059" spans="1:1" x14ac:dyDescent="0.35">
      <c r="A1059" s="2"/>
    </row>
    <row r="1060" spans="1:1" x14ac:dyDescent="0.35">
      <c r="A1060" s="2"/>
    </row>
    <row r="1061" spans="1:1" x14ac:dyDescent="0.35">
      <c r="A1061" s="2"/>
    </row>
    <row r="1062" spans="1:1" x14ac:dyDescent="0.35">
      <c r="A1062" s="2"/>
    </row>
    <row r="1063" spans="1:1" x14ac:dyDescent="0.35">
      <c r="A1063" s="2"/>
    </row>
    <row r="1064" spans="1:1" x14ac:dyDescent="0.35">
      <c r="A1064" s="2"/>
    </row>
    <row r="1065" spans="1:1" x14ac:dyDescent="0.35">
      <c r="A1065" s="2"/>
    </row>
    <row r="1066" spans="1:1" x14ac:dyDescent="0.35">
      <c r="A1066" s="2"/>
    </row>
    <row r="1067" spans="1:1" x14ac:dyDescent="0.35">
      <c r="A1067" s="2"/>
    </row>
    <row r="1068" spans="1:1" x14ac:dyDescent="0.35">
      <c r="A1068" s="2"/>
    </row>
    <row r="1069" spans="1:1" x14ac:dyDescent="0.35">
      <c r="A1069" s="2"/>
    </row>
    <row r="1070" spans="1:1" x14ac:dyDescent="0.35">
      <c r="A1070" s="2"/>
    </row>
    <row r="1071" spans="1:1" x14ac:dyDescent="0.35">
      <c r="A1071" s="2"/>
    </row>
    <row r="1072" spans="1:1" x14ac:dyDescent="0.35">
      <c r="A1072" s="2"/>
    </row>
    <row r="1073" spans="1:1" x14ac:dyDescent="0.35">
      <c r="A1073" s="2"/>
    </row>
    <row r="1074" spans="1:1" x14ac:dyDescent="0.35">
      <c r="A1074" s="2"/>
    </row>
    <row r="1075" spans="1:1" x14ac:dyDescent="0.35">
      <c r="A1075" s="2"/>
    </row>
    <row r="1076" spans="1:1" x14ac:dyDescent="0.35">
      <c r="A1076" s="2"/>
    </row>
    <row r="1077" spans="1:1" x14ac:dyDescent="0.35">
      <c r="A1077" s="2"/>
    </row>
    <row r="1078" spans="1:1" x14ac:dyDescent="0.35">
      <c r="A1078" s="2"/>
    </row>
    <row r="1079" spans="1:1" x14ac:dyDescent="0.35">
      <c r="A1079" s="2"/>
    </row>
    <row r="1080" spans="1:1" x14ac:dyDescent="0.35">
      <c r="A1080" s="2"/>
    </row>
    <row r="1081" spans="1:1" x14ac:dyDescent="0.35">
      <c r="A1081" s="2"/>
    </row>
    <row r="1082" spans="1:1" x14ac:dyDescent="0.35">
      <c r="A1082" s="2"/>
    </row>
    <row r="1083" spans="1:1" x14ac:dyDescent="0.35">
      <c r="A1083" s="2"/>
    </row>
    <row r="1084" spans="1:1" x14ac:dyDescent="0.35">
      <c r="A1084" s="2"/>
    </row>
    <row r="1085" spans="1:1" x14ac:dyDescent="0.35">
      <c r="A1085" s="2"/>
    </row>
    <row r="1086" spans="1:1" x14ac:dyDescent="0.35">
      <c r="A1086" s="2"/>
    </row>
    <row r="1087" spans="1:1" x14ac:dyDescent="0.35">
      <c r="A1087" s="2"/>
    </row>
    <row r="1088" spans="1:1" x14ac:dyDescent="0.35">
      <c r="A1088" s="2"/>
    </row>
    <row r="1089" spans="1:1" x14ac:dyDescent="0.35">
      <c r="A1089" s="2"/>
    </row>
    <row r="1090" spans="1:1" x14ac:dyDescent="0.35">
      <c r="A1090" s="2"/>
    </row>
    <row r="1091" spans="1:1" x14ac:dyDescent="0.35">
      <c r="A1091" s="2"/>
    </row>
    <row r="1092" spans="1:1" x14ac:dyDescent="0.35">
      <c r="A1092" s="2"/>
    </row>
    <row r="1093" spans="1:1" x14ac:dyDescent="0.35">
      <c r="A1093" s="2"/>
    </row>
    <row r="1094" spans="1:1" x14ac:dyDescent="0.35">
      <c r="A1094" s="2"/>
    </row>
    <row r="1095" spans="1:1" x14ac:dyDescent="0.35">
      <c r="A1095" s="2"/>
    </row>
    <row r="1096" spans="1:1" x14ac:dyDescent="0.35">
      <c r="A1096" s="2"/>
    </row>
    <row r="1097" spans="1:1" x14ac:dyDescent="0.35">
      <c r="A1097" s="2"/>
    </row>
    <row r="1098" spans="1:1" x14ac:dyDescent="0.35">
      <c r="A1098" s="2"/>
    </row>
    <row r="1099" spans="1:1" x14ac:dyDescent="0.35">
      <c r="A1099" s="2"/>
    </row>
    <row r="1100" spans="1:1" x14ac:dyDescent="0.35">
      <c r="A1100" s="2"/>
    </row>
    <row r="1101" spans="1:1" x14ac:dyDescent="0.35">
      <c r="A1101" s="2"/>
    </row>
    <row r="1102" spans="1:1" x14ac:dyDescent="0.35">
      <c r="A1102" s="2"/>
    </row>
    <row r="1103" spans="1:1" x14ac:dyDescent="0.35">
      <c r="A1103" s="2"/>
    </row>
    <row r="1104" spans="1:1" x14ac:dyDescent="0.35">
      <c r="A1104" s="2"/>
    </row>
    <row r="1105" spans="1:1" x14ac:dyDescent="0.35">
      <c r="A1105" s="2"/>
    </row>
    <row r="1106" spans="1:1" x14ac:dyDescent="0.35">
      <c r="A1106" s="2"/>
    </row>
    <row r="1107" spans="1:1" x14ac:dyDescent="0.35">
      <c r="A1107" s="2"/>
    </row>
    <row r="1108" spans="1:1" x14ac:dyDescent="0.35">
      <c r="A1108" s="2"/>
    </row>
    <row r="1109" spans="1:1" x14ac:dyDescent="0.35">
      <c r="A1109" s="2"/>
    </row>
    <row r="1110" spans="1:1" x14ac:dyDescent="0.35">
      <c r="A1110" s="2"/>
    </row>
    <row r="1111" spans="1:1" x14ac:dyDescent="0.35">
      <c r="A1111" s="2"/>
    </row>
    <row r="1112" spans="1:1" x14ac:dyDescent="0.35">
      <c r="A1112" s="2"/>
    </row>
    <row r="1113" spans="1:1" x14ac:dyDescent="0.35">
      <c r="A1113" s="2"/>
    </row>
    <row r="1114" spans="1:1" x14ac:dyDescent="0.35">
      <c r="A1114" s="2"/>
    </row>
    <row r="1115" spans="1:1" x14ac:dyDescent="0.35">
      <c r="A1115" s="2"/>
    </row>
    <row r="1116" spans="1:1" x14ac:dyDescent="0.35">
      <c r="A1116" s="2"/>
    </row>
    <row r="1117" spans="1:1" x14ac:dyDescent="0.35">
      <c r="A1117" s="2"/>
    </row>
    <row r="1118" spans="1:1" x14ac:dyDescent="0.35">
      <c r="A1118" s="2"/>
    </row>
    <row r="1119" spans="1:1" x14ac:dyDescent="0.35">
      <c r="A1119" s="2"/>
    </row>
    <row r="1120" spans="1:1" x14ac:dyDescent="0.35">
      <c r="A1120" s="2"/>
    </row>
    <row r="1121" spans="1:1" x14ac:dyDescent="0.35">
      <c r="A1121" s="2"/>
    </row>
    <row r="1122" spans="1:1" x14ac:dyDescent="0.35">
      <c r="A1122" s="2"/>
    </row>
    <row r="1123" spans="1:1" x14ac:dyDescent="0.35">
      <c r="A1123" s="2"/>
    </row>
    <row r="1124" spans="1:1" x14ac:dyDescent="0.35">
      <c r="A1124" s="2"/>
    </row>
    <row r="1125" spans="1:1" x14ac:dyDescent="0.35">
      <c r="A1125" s="2"/>
    </row>
    <row r="1126" spans="1:1" x14ac:dyDescent="0.35">
      <c r="A1126" s="2"/>
    </row>
    <row r="1127" spans="1:1" x14ac:dyDescent="0.35">
      <c r="A1127" s="2"/>
    </row>
    <row r="1128" spans="1:1" x14ac:dyDescent="0.35">
      <c r="A1128" s="2"/>
    </row>
    <row r="1129" spans="1:1" x14ac:dyDescent="0.35">
      <c r="A1129" s="2"/>
    </row>
    <row r="1130" spans="1:1" x14ac:dyDescent="0.35">
      <c r="A1130" s="2"/>
    </row>
    <row r="1131" spans="1:1" x14ac:dyDescent="0.35">
      <c r="A1131" s="2"/>
    </row>
    <row r="1132" spans="1:1" x14ac:dyDescent="0.35">
      <c r="A1132" s="2"/>
    </row>
    <row r="1133" spans="1:1" x14ac:dyDescent="0.35">
      <c r="A1133" s="2"/>
    </row>
    <row r="1134" spans="1:1" x14ac:dyDescent="0.35">
      <c r="A1134" s="2"/>
    </row>
    <row r="1135" spans="1:1" x14ac:dyDescent="0.35">
      <c r="A1135" s="2"/>
    </row>
    <row r="1136" spans="1:1" x14ac:dyDescent="0.35">
      <c r="A1136" s="2"/>
    </row>
    <row r="1137" spans="1:1" x14ac:dyDescent="0.35">
      <c r="A1137" s="2"/>
    </row>
    <row r="1138" spans="1:1" x14ac:dyDescent="0.35">
      <c r="A1138" s="2"/>
    </row>
    <row r="1139" spans="1:1" x14ac:dyDescent="0.35">
      <c r="A1139" s="2"/>
    </row>
    <row r="1140" spans="1:1" x14ac:dyDescent="0.35">
      <c r="A1140" s="2"/>
    </row>
    <row r="1141" spans="1:1" x14ac:dyDescent="0.35">
      <c r="A1141" s="2"/>
    </row>
    <row r="1142" spans="1:1" x14ac:dyDescent="0.35">
      <c r="A1142" s="2"/>
    </row>
    <row r="1143" spans="1:1" x14ac:dyDescent="0.35">
      <c r="A1143" s="2"/>
    </row>
    <row r="1144" spans="1:1" x14ac:dyDescent="0.35">
      <c r="A1144" s="2"/>
    </row>
    <row r="1145" spans="1:1" x14ac:dyDescent="0.35">
      <c r="A1145" s="2"/>
    </row>
    <row r="1146" spans="1:1" x14ac:dyDescent="0.35">
      <c r="A1146" s="2"/>
    </row>
    <row r="1147" spans="1:1" x14ac:dyDescent="0.35">
      <c r="A1147" s="2"/>
    </row>
    <row r="1148" spans="1:1" x14ac:dyDescent="0.35">
      <c r="A1148" s="2"/>
    </row>
    <row r="1149" spans="1:1" x14ac:dyDescent="0.35">
      <c r="A1149" s="2"/>
    </row>
    <row r="1150" spans="1:1" x14ac:dyDescent="0.35">
      <c r="A1150" s="2"/>
    </row>
    <row r="1151" spans="1:1" x14ac:dyDescent="0.35">
      <c r="A1151" s="2"/>
    </row>
    <row r="1152" spans="1:1" x14ac:dyDescent="0.35">
      <c r="A1152" s="2"/>
    </row>
    <row r="1153" spans="1:1" x14ac:dyDescent="0.35">
      <c r="A1153" s="2"/>
    </row>
    <row r="1154" spans="1:1" x14ac:dyDescent="0.35">
      <c r="A1154" s="2"/>
    </row>
    <row r="1155" spans="1:1" x14ac:dyDescent="0.35">
      <c r="A1155" s="2"/>
    </row>
    <row r="1156" spans="1:1" x14ac:dyDescent="0.35">
      <c r="A1156" s="2"/>
    </row>
    <row r="1157" spans="1:1" x14ac:dyDescent="0.35">
      <c r="A1157" s="2"/>
    </row>
    <row r="1158" spans="1:1" x14ac:dyDescent="0.35">
      <c r="A1158" s="2"/>
    </row>
    <row r="1159" spans="1:1" x14ac:dyDescent="0.35">
      <c r="A1159" s="2"/>
    </row>
    <row r="1160" spans="1:1" x14ac:dyDescent="0.35">
      <c r="A1160" s="2"/>
    </row>
    <row r="1161" spans="1:1" x14ac:dyDescent="0.35">
      <c r="A1161" s="2"/>
    </row>
    <row r="1162" spans="1:1" x14ac:dyDescent="0.35">
      <c r="A1162" s="2"/>
    </row>
    <row r="1163" spans="1:1" x14ac:dyDescent="0.35">
      <c r="A1163" s="2"/>
    </row>
    <row r="1164" spans="1:1" x14ac:dyDescent="0.35">
      <c r="A1164" s="2"/>
    </row>
    <row r="1165" spans="1:1" x14ac:dyDescent="0.35">
      <c r="A1165" s="2"/>
    </row>
    <row r="1166" spans="1:1" x14ac:dyDescent="0.35">
      <c r="A1166" s="2"/>
    </row>
    <row r="1167" spans="1:1" x14ac:dyDescent="0.35">
      <c r="A1167" s="2"/>
    </row>
    <row r="1168" spans="1:1" x14ac:dyDescent="0.35">
      <c r="A1168" s="2"/>
    </row>
    <row r="1169" spans="1:1" x14ac:dyDescent="0.35">
      <c r="A1169" s="2"/>
    </row>
    <row r="1170" spans="1:1" x14ac:dyDescent="0.35">
      <c r="A1170" s="2"/>
    </row>
    <row r="1171" spans="1:1" x14ac:dyDescent="0.35">
      <c r="A1171" s="2"/>
    </row>
    <row r="1172" spans="1:1" x14ac:dyDescent="0.35">
      <c r="A1172" s="2"/>
    </row>
    <row r="1173" spans="1:1" x14ac:dyDescent="0.35">
      <c r="A1173" s="2"/>
    </row>
    <row r="1174" spans="1:1" x14ac:dyDescent="0.35">
      <c r="A1174" s="2"/>
    </row>
    <row r="1175" spans="1:1" x14ac:dyDescent="0.35">
      <c r="A1175" s="2"/>
    </row>
    <row r="1176" spans="1:1" x14ac:dyDescent="0.35">
      <c r="A1176" s="2"/>
    </row>
    <row r="1177" spans="1:1" x14ac:dyDescent="0.35">
      <c r="A1177" s="2"/>
    </row>
    <row r="1178" spans="1:1" x14ac:dyDescent="0.35">
      <c r="A1178" s="2"/>
    </row>
    <row r="1179" spans="1:1" x14ac:dyDescent="0.35">
      <c r="A1179" s="2"/>
    </row>
    <row r="1180" spans="1:1" x14ac:dyDescent="0.35">
      <c r="A1180" s="2"/>
    </row>
    <row r="1181" spans="1:1" x14ac:dyDescent="0.35">
      <c r="A1181" s="2"/>
    </row>
    <row r="1182" spans="1:1" x14ac:dyDescent="0.35">
      <c r="A1182" s="2"/>
    </row>
    <row r="1183" spans="1:1" x14ac:dyDescent="0.35">
      <c r="A1183" s="2"/>
    </row>
    <row r="1184" spans="1:1" x14ac:dyDescent="0.35">
      <c r="A1184" s="2"/>
    </row>
    <row r="1185" spans="1:1" x14ac:dyDescent="0.35">
      <c r="A1185" s="2"/>
    </row>
    <row r="1186" spans="1:1" x14ac:dyDescent="0.35">
      <c r="A1186" s="2"/>
    </row>
    <row r="1187" spans="1:1" x14ac:dyDescent="0.35">
      <c r="A1187" s="2"/>
    </row>
    <row r="1188" spans="1:1" x14ac:dyDescent="0.35">
      <c r="A1188" s="2"/>
    </row>
    <row r="1189" spans="1:1" x14ac:dyDescent="0.35">
      <c r="A1189" s="2"/>
    </row>
    <row r="1190" spans="1:1" x14ac:dyDescent="0.35">
      <c r="A1190" s="2"/>
    </row>
    <row r="1191" spans="1:1" x14ac:dyDescent="0.35">
      <c r="A1191" s="2"/>
    </row>
    <row r="1192" spans="1:1" x14ac:dyDescent="0.35">
      <c r="A1192" s="2"/>
    </row>
    <row r="1193" spans="1:1" x14ac:dyDescent="0.35">
      <c r="A1193" s="2"/>
    </row>
    <row r="1194" spans="1:1" x14ac:dyDescent="0.35">
      <c r="A1194" s="2"/>
    </row>
    <row r="1195" spans="1:1" x14ac:dyDescent="0.35">
      <c r="A1195" s="2"/>
    </row>
    <row r="1196" spans="1:1" x14ac:dyDescent="0.35">
      <c r="A1196" s="2"/>
    </row>
    <row r="1197" spans="1:1" x14ac:dyDescent="0.35">
      <c r="A1197" s="2"/>
    </row>
    <row r="1198" spans="1:1" x14ac:dyDescent="0.35">
      <c r="A1198" s="2"/>
    </row>
    <row r="1199" spans="1:1" x14ac:dyDescent="0.35">
      <c r="A1199" s="2"/>
    </row>
    <row r="1200" spans="1:1" x14ac:dyDescent="0.35">
      <c r="A1200" s="2"/>
    </row>
    <row r="1201" spans="1:1" x14ac:dyDescent="0.35">
      <c r="A1201" s="2"/>
    </row>
    <row r="1202" spans="1:1" x14ac:dyDescent="0.35">
      <c r="A1202" s="2"/>
    </row>
    <row r="1203" spans="1:1" x14ac:dyDescent="0.35">
      <c r="A1203" s="2"/>
    </row>
    <row r="1204" spans="1:1" x14ac:dyDescent="0.35">
      <c r="A1204" s="2"/>
    </row>
    <row r="1205" spans="1:1" x14ac:dyDescent="0.35">
      <c r="A1205" s="2"/>
    </row>
    <row r="1206" spans="1:1" x14ac:dyDescent="0.35">
      <c r="A1206" s="2"/>
    </row>
    <row r="1207" spans="1:1" x14ac:dyDescent="0.35">
      <c r="A1207" s="2"/>
    </row>
    <row r="1208" spans="1:1" x14ac:dyDescent="0.35">
      <c r="A1208" s="2"/>
    </row>
    <row r="1209" spans="1:1" x14ac:dyDescent="0.35">
      <c r="A1209" s="2"/>
    </row>
    <row r="1210" spans="1:1" x14ac:dyDescent="0.35">
      <c r="A1210" s="2"/>
    </row>
    <row r="1211" spans="1:1" x14ac:dyDescent="0.35">
      <c r="A1211" s="2"/>
    </row>
    <row r="1212" spans="1:1" x14ac:dyDescent="0.35">
      <c r="A1212" s="2"/>
    </row>
    <row r="1213" spans="1:1" x14ac:dyDescent="0.35">
      <c r="A1213" s="2"/>
    </row>
    <row r="1214" spans="1:1" x14ac:dyDescent="0.35">
      <c r="A1214" s="2"/>
    </row>
    <row r="1215" spans="1:1" x14ac:dyDescent="0.35">
      <c r="A1215" s="2"/>
    </row>
    <row r="1216" spans="1:1" x14ac:dyDescent="0.35">
      <c r="A1216" s="2"/>
    </row>
    <row r="1217" spans="1:1" x14ac:dyDescent="0.35">
      <c r="A1217" s="2"/>
    </row>
    <row r="1218" spans="1:1" x14ac:dyDescent="0.35">
      <c r="A1218" s="2"/>
    </row>
    <row r="1219" spans="1:1" x14ac:dyDescent="0.35">
      <c r="A1219" s="2"/>
    </row>
    <row r="1220" spans="1:1" x14ac:dyDescent="0.35">
      <c r="A1220" s="2"/>
    </row>
    <row r="1221" spans="1:1" x14ac:dyDescent="0.35">
      <c r="A1221" s="2"/>
    </row>
    <row r="1222" spans="1:1" x14ac:dyDescent="0.35">
      <c r="A1222" s="2"/>
    </row>
    <row r="1223" spans="1:1" x14ac:dyDescent="0.35">
      <c r="A1223" s="2"/>
    </row>
    <row r="1224" spans="1:1" x14ac:dyDescent="0.35">
      <c r="A1224" s="2"/>
    </row>
    <row r="1225" spans="1:1" x14ac:dyDescent="0.35">
      <c r="A1225" s="2"/>
    </row>
    <row r="1226" spans="1:1" x14ac:dyDescent="0.35">
      <c r="A1226" s="2"/>
    </row>
    <row r="1227" spans="1:1" x14ac:dyDescent="0.35">
      <c r="A1227" s="2"/>
    </row>
    <row r="1228" spans="1:1" x14ac:dyDescent="0.35">
      <c r="A1228" s="2"/>
    </row>
    <row r="1229" spans="1:1" x14ac:dyDescent="0.35">
      <c r="A1229" s="2"/>
    </row>
    <row r="1230" spans="1:1" x14ac:dyDescent="0.35">
      <c r="A1230" s="2"/>
    </row>
    <row r="1231" spans="1:1" x14ac:dyDescent="0.35">
      <c r="A1231" s="2"/>
    </row>
    <row r="1232" spans="1:1" x14ac:dyDescent="0.35">
      <c r="A1232" s="2"/>
    </row>
    <row r="1233" spans="1:1" x14ac:dyDescent="0.35">
      <c r="A1233" s="2"/>
    </row>
    <row r="1234" spans="1:1" x14ac:dyDescent="0.35">
      <c r="A1234" s="2"/>
    </row>
    <row r="1235" spans="1:1" x14ac:dyDescent="0.35">
      <c r="A1235" s="2"/>
    </row>
    <row r="1236" spans="1:1" x14ac:dyDescent="0.35">
      <c r="A1236" s="2"/>
    </row>
    <row r="1237" spans="1:1" x14ac:dyDescent="0.35">
      <c r="A1237" s="2"/>
    </row>
    <row r="1238" spans="1:1" x14ac:dyDescent="0.35">
      <c r="A1238" s="2"/>
    </row>
    <row r="1239" spans="1:1" x14ac:dyDescent="0.35">
      <c r="A1239" s="2"/>
    </row>
    <row r="1240" spans="1:1" x14ac:dyDescent="0.35">
      <c r="A1240" s="2"/>
    </row>
    <row r="1241" spans="1:1" x14ac:dyDescent="0.35">
      <c r="A1241" s="2"/>
    </row>
    <row r="1242" spans="1:1" x14ac:dyDescent="0.35">
      <c r="A1242" s="2"/>
    </row>
    <row r="1243" spans="1:1" x14ac:dyDescent="0.35">
      <c r="A1243" s="2"/>
    </row>
    <row r="1244" spans="1:1" x14ac:dyDescent="0.35">
      <c r="A1244" s="2"/>
    </row>
    <row r="1245" spans="1:1" x14ac:dyDescent="0.35">
      <c r="A1245" s="2"/>
    </row>
    <row r="1246" spans="1:1" x14ac:dyDescent="0.35">
      <c r="A1246" s="2"/>
    </row>
    <row r="1247" spans="1:1" x14ac:dyDescent="0.35">
      <c r="A1247" s="2"/>
    </row>
    <row r="1248" spans="1:1" x14ac:dyDescent="0.35">
      <c r="A1248" s="2"/>
    </row>
    <row r="1249" spans="1:1" x14ac:dyDescent="0.35">
      <c r="A1249" s="2"/>
    </row>
    <row r="1250" spans="1:1" x14ac:dyDescent="0.35">
      <c r="A1250" s="2"/>
    </row>
    <row r="1251" spans="1:1" x14ac:dyDescent="0.35">
      <c r="A1251" s="2"/>
    </row>
    <row r="1252" spans="1:1" x14ac:dyDescent="0.35">
      <c r="A1252" s="2"/>
    </row>
    <row r="1253" spans="1:1" x14ac:dyDescent="0.35">
      <c r="A1253" s="2"/>
    </row>
    <row r="1254" spans="1:1" x14ac:dyDescent="0.35">
      <c r="A1254" s="2"/>
    </row>
    <row r="1255" spans="1:1" x14ac:dyDescent="0.35">
      <c r="A1255" s="2"/>
    </row>
    <row r="1256" spans="1:1" x14ac:dyDescent="0.35">
      <c r="A1256" s="2"/>
    </row>
    <row r="1257" spans="1:1" x14ac:dyDescent="0.35">
      <c r="A1257" s="2"/>
    </row>
    <row r="1258" spans="1:1" x14ac:dyDescent="0.35">
      <c r="A1258" s="2"/>
    </row>
    <row r="1259" spans="1:1" x14ac:dyDescent="0.35">
      <c r="A1259" s="2"/>
    </row>
    <row r="1260" spans="1:1" x14ac:dyDescent="0.35">
      <c r="A1260" s="2"/>
    </row>
    <row r="1261" spans="1:1" x14ac:dyDescent="0.35">
      <c r="A1261" s="2"/>
    </row>
    <row r="1262" spans="1:1" x14ac:dyDescent="0.35">
      <c r="A1262" s="2"/>
    </row>
    <row r="1263" spans="1:1" x14ac:dyDescent="0.35">
      <c r="A1263" s="2"/>
    </row>
    <row r="1264" spans="1:1" x14ac:dyDescent="0.35">
      <c r="A1264" s="2"/>
    </row>
    <row r="1265" spans="1:1" x14ac:dyDescent="0.35">
      <c r="A1265" s="2"/>
    </row>
    <row r="1266" spans="1:1" x14ac:dyDescent="0.35">
      <c r="A1266" s="2"/>
    </row>
    <row r="1267" spans="1:1" x14ac:dyDescent="0.35">
      <c r="A1267" s="2"/>
    </row>
    <row r="1268" spans="1:1" x14ac:dyDescent="0.35">
      <c r="A1268" s="2"/>
    </row>
    <row r="1269" spans="1:1" x14ac:dyDescent="0.35">
      <c r="A1269" s="2"/>
    </row>
    <row r="1270" spans="1:1" x14ac:dyDescent="0.35">
      <c r="A1270" s="2"/>
    </row>
    <row r="1271" spans="1:1" x14ac:dyDescent="0.35">
      <c r="A1271" s="2"/>
    </row>
    <row r="1272" spans="1:1" x14ac:dyDescent="0.35">
      <c r="A1272" s="2"/>
    </row>
    <row r="1273" spans="1:1" x14ac:dyDescent="0.35">
      <c r="A1273" s="2"/>
    </row>
    <row r="1274" spans="1:1" x14ac:dyDescent="0.35">
      <c r="A1274" s="2"/>
    </row>
    <row r="1275" spans="1:1" x14ac:dyDescent="0.35">
      <c r="A1275" s="2"/>
    </row>
    <row r="1276" spans="1:1" x14ac:dyDescent="0.35">
      <c r="A1276" s="2"/>
    </row>
    <row r="1277" spans="1:1" x14ac:dyDescent="0.35">
      <c r="A1277" s="2"/>
    </row>
    <row r="1278" spans="1:1" x14ac:dyDescent="0.35">
      <c r="A1278" s="2"/>
    </row>
    <row r="1279" spans="1:1" x14ac:dyDescent="0.35">
      <c r="A1279" s="2"/>
    </row>
    <row r="1280" spans="1:1" x14ac:dyDescent="0.35">
      <c r="A1280" s="2"/>
    </row>
    <row r="1281" spans="1:1" x14ac:dyDescent="0.35">
      <c r="A1281" s="2"/>
    </row>
    <row r="1282" spans="1:1" x14ac:dyDescent="0.35">
      <c r="A1282" s="2"/>
    </row>
    <row r="1283" spans="1:1" x14ac:dyDescent="0.35">
      <c r="A1283" s="2"/>
    </row>
    <row r="1284" spans="1:1" x14ac:dyDescent="0.35">
      <c r="A1284" s="2"/>
    </row>
    <row r="1285" spans="1:1" x14ac:dyDescent="0.35">
      <c r="A1285" s="2"/>
    </row>
    <row r="1286" spans="1:1" x14ac:dyDescent="0.35">
      <c r="A1286" s="2"/>
    </row>
    <row r="1287" spans="1:1" x14ac:dyDescent="0.35">
      <c r="A1287" s="2"/>
    </row>
    <row r="1288" spans="1:1" x14ac:dyDescent="0.35">
      <c r="A1288" s="2"/>
    </row>
    <row r="1289" spans="1:1" x14ac:dyDescent="0.35">
      <c r="A1289" s="2"/>
    </row>
    <row r="1290" spans="1:1" x14ac:dyDescent="0.35">
      <c r="A1290" s="2"/>
    </row>
    <row r="1291" spans="1:1" x14ac:dyDescent="0.35">
      <c r="A1291" s="2"/>
    </row>
    <row r="1292" spans="1:1" x14ac:dyDescent="0.35">
      <c r="A1292" s="2"/>
    </row>
    <row r="1293" spans="1:1" x14ac:dyDescent="0.35">
      <c r="A1293" s="2"/>
    </row>
    <row r="1294" spans="1:1" x14ac:dyDescent="0.35">
      <c r="A1294" s="2"/>
    </row>
    <row r="1295" spans="1:1" x14ac:dyDescent="0.35">
      <c r="A1295" s="2"/>
    </row>
    <row r="1296" spans="1:1" x14ac:dyDescent="0.35">
      <c r="A1296" s="2"/>
    </row>
    <row r="1297" spans="1:1" x14ac:dyDescent="0.35">
      <c r="A1297" s="2"/>
    </row>
    <row r="1298" spans="1:1" x14ac:dyDescent="0.35">
      <c r="A1298" s="2"/>
    </row>
    <row r="1299" spans="1:1" x14ac:dyDescent="0.35">
      <c r="A1299" s="2"/>
    </row>
    <row r="1300" spans="1:1" x14ac:dyDescent="0.35">
      <c r="A1300" s="2"/>
    </row>
    <row r="1301" spans="1:1" x14ac:dyDescent="0.35">
      <c r="A1301" s="2"/>
    </row>
    <row r="1302" spans="1:1" x14ac:dyDescent="0.35">
      <c r="A1302" s="2"/>
    </row>
    <row r="1303" spans="1:1" x14ac:dyDescent="0.35">
      <c r="A1303" s="2"/>
    </row>
    <row r="1304" spans="1:1" x14ac:dyDescent="0.35">
      <c r="A1304" s="2"/>
    </row>
    <row r="1305" spans="1:1" x14ac:dyDescent="0.35">
      <c r="A1305" s="2"/>
    </row>
    <row r="1306" spans="1:1" x14ac:dyDescent="0.35">
      <c r="A1306" s="2"/>
    </row>
    <row r="1307" spans="1:1" x14ac:dyDescent="0.35">
      <c r="A1307" s="2"/>
    </row>
    <row r="1308" spans="1:1" x14ac:dyDescent="0.35">
      <c r="A1308" s="2"/>
    </row>
    <row r="1309" spans="1:1" x14ac:dyDescent="0.35">
      <c r="A1309" s="2"/>
    </row>
    <row r="1310" spans="1:1" x14ac:dyDescent="0.35">
      <c r="A1310" s="2"/>
    </row>
    <row r="1311" spans="1:1" x14ac:dyDescent="0.35">
      <c r="A1311" s="2"/>
    </row>
    <row r="1312" spans="1:1" x14ac:dyDescent="0.35">
      <c r="A1312" s="2"/>
    </row>
    <row r="1313" spans="1:1" x14ac:dyDescent="0.35">
      <c r="A1313" s="2"/>
    </row>
    <row r="1314" spans="1:1" x14ac:dyDescent="0.35">
      <c r="A1314" s="2"/>
    </row>
    <row r="1315" spans="1:1" x14ac:dyDescent="0.35">
      <c r="A1315" s="2"/>
    </row>
    <row r="1316" spans="1:1" x14ac:dyDescent="0.35">
      <c r="A1316" s="2"/>
    </row>
    <row r="1317" spans="1:1" x14ac:dyDescent="0.35">
      <c r="A1317" s="2"/>
    </row>
    <row r="1318" spans="1:1" x14ac:dyDescent="0.35">
      <c r="A1318" s="2"/>
    </row>
    <row r="1319" spans="1:1" x14ac:dyDescent="0.35">
      <c r="A1319" s="2"/>
    </row>
    <row r="1320" spans="1:1" x14ac:dyDescent="0.35">
      <c r="A1320" s="2"/>
    </row>
    <row r="1321" spans="1:1" x14ac:dyDescent="0.35">
      <c r="A1321" s="2"/>
    </row>
    <row r="1322" spans="1:1" x14ac:dyDescent="0.35">
      <c r="A1322" s="2"/>
    </row>
    <row r="1323" spans="1:1" x14ac:dyDescent="0.35">
      <c r="A1323" s="2"/>
    </row>
    <row r="1324" spans="1:1" x14ac:dyDescent="0.35">
      <c r="A1324" s="2"/>
    </row>
    <row r="1325" spans="1:1" x14ac:dyDescent="0.35">
      <c r="A1325" s="2"/>
    </row>
    <row r="1326" spans="1:1" x14ac:dyDescent="0.35">
      <c r="A1326" s="2"/>
    </row>
    <row r="1327" spans="1:1" x14ac:dyDescent="0.35">
      <c r="A1327" s="2"/>
    </row>
    <row r="1328" spans="1:1" x14ac:dyDescent="0.35">
      <c r="A1328" s="2"/>
    </row>
    <row r="1329" spans="1:1" x14ac:dyDescent="0.35">
      <c r="A1329" s="2"/>
    </row>
    <row r="1330" spans="1:1" x14ac:dyDescent="0.35">
      <c r="A1330" s="2"/>
    </row>
    <row r="1331" spans="1:1" x14ac:dyDescent="0.35">
      <c r="A1331" s="2"/>
    </row>
    <row r="1332" spans="1:1" x14ac:dyDescent="0.35">
      <c r="A1332" s="2"/>
    </row>
    <row r="1333" spans="1:1" x14ac:dyDescent="0.35">
      <c r="A1333" s="2"/>
    </row>
    <row r="1334" spans="1:1" x14ac:dyDescent="0.35">
      <c r="A1334" s="2"/>
    </row>
    <row r="1335" spans="1:1" x14ac:dyDescent="0.35">
      <c r="A1335" s="2"/>
    </row>
    <row r="1336" spans="1:1" x14ac:dyDescent="0.35">
      <c r="A1336" s="2"/>
    </row>
    <row r="1337" spans="1:1" x14ac:dyDescent="0.35">
      <c r="A1337" s="2"/>
    </row>
    <row r="1338" spans="1:1" x14ac:dyDescent="0.35">
      <c r="A1338" s="2"/>
    </row>
    <row r="1339" spans="1:1" x14ac:dyDescent="0.35">
      <c r="A1339" s="2"/>
    </row>
    <row r="1340" spans="1:1" x14ac:dyDescent="0.35">
      <c r="A1340" s="2"/>
    </row>
    <row r="1341" spans="1:1" x14ac:dyDescent="0.35">
      <c r="A1341" s="2"/>
    </row>
    <row r="1342" spans="1:1" x14ac:dyDescent="0.35">
      <c r="A1342" s="2"/>
    </row>
    <row r="1343" spans="1:1" x14ac:dyDescent="0.35">
      <c r="A1343" s="2"/>
    </row>
    <row r="1344" spans="1:1" x14ac:dyDescent="0.35">
      <c r="A1344" s="2"/>
    </row>
    <row r="1345" spans="1:1" x14ac:dyDescent="0.35">
      <c r="A1345" s="2"/>
    </row>
    <row r="1346" spans="1:1" x14ac:dyDescent="0.35">
      <c r="A1346" s="2"/>
    </row>
    <row r="1347" spans="1:1" x14ac:dyDescent="0.35">
      <c r="A1347" s="2"/>
    </row>
    <row r="1348" spans="1:1" x14ac:dyDescent="0.35">
      <c r="A1348" s="2"/>
    </row>
    <row r="1349" spans="1:1" x14ac:dyDescent="0.35">
      <c r="A1349" s="2"/>
    </row>
    <row r="1350" spans="1:1" x14ac:dyDescent="0.35">
      <c r="A1350" s="2"/>
    </row>
    <row r="1351" spans="1:1" x14ac:dyDescent="0.35">
      <c r="A1351" s="2"/>
    </row>
    <row r="1352" spans="1:1" x14ac:dyDescent="0.35">
      <c r="A1352" s="2"/>
    </row>
    <row r="1353" spans="1:1" x14ac:dyDescent="0.35">
      <c r="A1353" s="2"/>
    </row>
    <row r="1354" spans="1:1" x14ac:dyDescent="0.35">
      <c r="A1354" s="2"/>
    </row>
    <row r="1355" spans="1:1" x14ac:dyDescent="0.35">
      <c r="A1355" s="2"/>
    </row>
    <row r="1356" spans="1:1" x14ac:dyDescent="0.35">
      <c r="A1356" s="2"/>
    </row>
    <row r="1357" spans="1:1" x14ac:dyDescent="0.35">
      <c r="A1357" s="2"/>
    </row>
    <row r="1358" spans="1:1" x14ac:dyDescent="0.35">
      <c r="A1358" s="2"/>
    </row>
    <row r="1359" spans="1:1" x14ac:dyDescent="0.35">
      <c r="A1359" s="2"/>
    </row>
    <row r="1360" spans="1:1" x14ac:dyDescent="0.35">
      <c r="A1360" s="2"/>
    </row>
    <row r="1361" spans="1:1" x14ac:dyDescent="0.35">
      <c r="A1361" s="2"/>
    </row>
    <row r="1362" spans="1:1" x14ac:dyDescent="0.35">
      <c r="A1362" s="2"/>
    </row>
    <row r="1363" spans="1:1" x14ac:dyDescent="0.35">
      <c r="A1363" s="2"/>
    </row>
    <row r="1364" spans="1:1" x14ac:dyDescent="0.35">
      <c r="A1364" s="2"/>
    </row>
    <row r="1365" spans="1:1" x14ac:dyDescent="0.35">
      <c r="A1365" s="2"/>
    </row>
    <row r="1366" spans="1:1" x14ac:dyDescent="0.35">
      <c r="A1366" s="2"/>
    </row>
    <row r="1367" spans="1:1" x14ac:dyDescent="0.35">
      <c r="A1367" s="2"/>
    </row>
    <row r="1368" spans="1:1" x14ac:dyDescent="0.35">
      <c r="A1368" s="2"/>
    </row>
    <row r="1369" spans="1:1" x14ac:dyDescent="0.35">
      <c r="A1369" s="2"/>
    </row>
    <row r="1370" spans="1:1" x14ac:dyDescent="0.35">
      <c r="A1370" s="2"/>
    </row>
    <row r="1371" spans="1:1" x14ac:dyDescent="0.35">
      <c r="A1371" s="2"/>
    </row>
    <row r="1372" spans="1:1" x14ac:dyDescent="0.35">
      <c r="A1372" s="2"/>
    </row>
    <row r="1373" spans="1:1" x14ac:dyDescent="0.35">
      <c r="A1373" s="2"/>
    </row>
    <row r="1374" spans="1:1" x14ac:dyDescent="0.35">
      <c r="A1374" s="2"/>
    </row>
    <row r="1375" spans="1:1" x14ac:dyDescent="0.35">
      <c r="A1375" s="2"/>
    </row>
    <row r="1376" spans="1:1" x14ac:dyDescent="0.35">
      <c r="A1376" s="2"/>
    </row>
    <row r="1377" spans="1:1" x14ac:dyDescent="0.35">
      <c r="A1377" s="2"/>
    </row>
    <row r="1378" spans="1:1" x14ac:dyDescent="0.35">
      <c r="A1378" s="2"/>
    </row>
    <row r="1379" spans="1:1" x14ac:dyDescent="0.35">
      <c r="A1379" s="2"/>
    </row>
    <row r="1380" spans="1:1" x14ac:dyDescent="0.35">
      <c r="A1380" s="2"/>
    </row>
    <row r="1381" spans="1:1" x14ac:dyDescent="0.35">
      <c r="A1381" s="2"/>
    </row>
    <row r="1382" spans="1:1" x14ac:dyDescent="0.35">
      <c r="A1382" s="2"/>
    </row>
    <row r="1383" spans="1:1" x14ac:dyDescent="0.35">
      <c r="A1383" s="2"/>
    </row>
    <row r="1384" spans="1:1" x14ac:dyDescent="0.35">
      <c r="A1384" s="2"/>
    </row>
    <row r="1385" spans="1:1" x14ac:dyDescent="0.35">
      <c r="A1385" s="2"/>
    </row>
    <row r="1386" spans="1:1" x14ac:dyDescent="0.35">
      <c r="A1386" s="2"/>
    </row>
    <row r="1387" spans="1:1" x14ac:dyDescent="0.35">
      <c r="A1387" s="2"/>
    </row>
    <row r="1388" spans="1:1" x14ac:dyDescent="0.35">
      <c r="A1388" s="2"/>
    </row>
    <row r="1389" spans="1:1" x14ac:dyDescent="0.35">
      <c r="A1389" s="2"/>
    </row>
    <row r="1390" spans="1:1" x14ac:dyDescent="0.35">
      <c r="A1390" s="2"/>
    </row>
    <row r="1391" spans="1:1" x14ac:dyDescent="0.35">
      <c r="A1391" s="2"/>
    </row>
    <row r="1392" spans="1:1" x14ac:dyDescent="0.35">
      <c r="A1392" s="2"/>
    </row>
    <row r="1393" spans="1:1" x14ac:dyDescent="0.35">
      <c r="A1393" s="2"/>
    </row>
    <row r="1394" spans="1:1" x14ac:dyDescent="0.35">
      <c r="A1394" s="2"/>
    </row>
    <row r="1395" spans="1:1" x14ac:dyDescent="0.35">
      <c r="A1395" s="2"/>
    </row>
    <row r="1396" spans="1:1" x14ac:dyDescent="0.35">
      <c r="A1396" s="2"/>
    </row>
    <row r="1397" spans="1:1" x14ac:dyDescent="0.35">
      <c r="A1397" s="2"/>
    </row>
    <row r="1398" spans="1:1" x14ac:dyDescent="0.35">
      <c r="A1398" s="2"/>
    </row>
    <row r="1399" spans="1:1" x14ac:dyDescent="0.35">
      <c r="A1399" s="2"/>
    </row>
    <row r="1400" spans="1:1" x14ac:dyDescent="0.35">
      <c r="A1400" s="2"/>
    </row>
    <row r="1401" spans="1:1" x14ac:dyDescent="0.35">
      <c r="A1401" s="2"/>
    </row>
    <row r="1402" spans="1:1" x14ac:dyDescent="0.35">
      <c r="A1402" s="2"/>
    </row>
    <row r="1403" spans="1:1" x14ac:dyDescent="0.35">
      <c r="A1403" s="2"/>
    </row>
    <row r="1404" spans="1:1" x14ac:dyDescent="0.35">
      <c r="A1404" s="2"/>
    </row>
    <row r="1405" spans="1:1" x14ac:dyDescent="0.35">
      <c r="A1405" s="2"/>
    </row>
    <row r="1406" spans="1:1" x14ac:dyDescent="0.35">
      <c r="A1406" s="2"/>
    </row>
    <row r="1407" spans="1:1" x14ac:dyDescent="0.35">
      <c r="A1407" s="2"/>
    </row>
    <row r="1408" spans="1:1" x14ac:dyDescent="0.35">
      <c r="A1408" s="2"/>
    </row>
    <row r="1409" spans="1:1" x14ac:dyDescent="0.35">
      <c r="A1409" s="2"/>
    </row>
    <row r="1410" spans="1:1" x14ac:dyDescent="0.35">
      <c r="A1410" s="2"/>
    </row>
    <row r="1411" spans="1:1" x14ac:dyDescent="0.35">
      <c r="A1411" s="2"/>
    </row>
    <row r="1412" spans="1:1" x14ac:dyDescent="0.35">
      <c r="A1412" s="2"/>
    </row>
    <row r="1413" spans="1:1" x14ac:dyDescent="0.35">
      <c r="A1413" s="2"/>
    </row>
    <row r="1414" spans="1:1" x14ac:dyDescent="0.35">
      <c r="A1414" s="2"/>
    </row>
    <row r="1415" spans="1:1" x14ac:dyDescent="0.35">
      <c r="A1415" s="2"/>
    </row>
    <row r="1416" spans="1:1" x14ac:dyDescent="0.35">
      <c r="A1416" s="2"/>
    </row>
    <row r="1417" spans="1:1" x14ac:dyDescent="0.35">
      <c r="A1417" s="2"/>
    </row>
    <row r="1418" spans="1:1" x14ac:dyDescent="0.35">
      <c r="A1418" s="2"/>
    </row>
    <row r="1419" spans="1:1" x14ac:dyDescent="0.35">
      <c r="A1419" s="2"/>
    </row>
    <row r="1420" spans="1:1" x14ac:dyDescent="0.35">
      <c r="A1420" s="2"/>
    </row>
    <row r="1421" spans="1:1" x14ac:dyDescent="0.35">
      <c r="A1421" s="2"/>
    </row>
    <row r="1422" spans="1:1" x14ac:dyDescent="0.35">
      <c r="A1422" s="2"/>
    </row>
    <row r="1423" spans="1:1" x14ac:dyDescent="0.35">
      <c r="A1423" s="2"/>
    </row>
    <row r="1424" spans="1:1" x14ac:dyDescent="0.35">
      <c r="A1424" s="2"/>
    </row>
    <row r="1425" spans="1:1" x14ac:dyDescent="0.35">
      <c r="A1425" s="2"/>
    </row>
    <row r="1426" spans="1:1" x14ac:dyDescent="0.35">
      <c r="A1426" s="2"/>
    </row>
    <row r="1427" spans="1:1" x14ac:dyDescent="0.35">
      <c r="A1427" s="2"/>
    </row>
    <row r="1428" spans="1:1" x14ac:dyDescent="0.35">
      <c r="A1428" s="2"/>
    </row>
    <row r="1429" spans="1:1" x14ac:dyDescent="0.35">
      <c r="A1429" s="2"/>
    </row>
    <row r="1430" spans="1:1" x14ac:dyDescent="0.35">
      <c r="A1430" s="2"/>
    </row>
    <row r="1431" spans="1:1" x14ac:dyDescent="0.35">
      <c r="A1431" s="2"/>
    </row>
    <row r="1432" spans="1:1" x14ac:dyDescent="0.35">
      <c r="A1432" s="2"/>
    </row>
    <row r="1433" spans="1:1" x14ac:dyDescent="0.35">
      <c r="A1433" s="2"/>
    </row>
    <row r="1434" spans="1:1" x14ac:dyDescent="0.35">
      <c r="A1434" s="2"/>
    </row>
    <row r="1435" spans="1:1" x14ac:dyDescent="0.35">
      <c r="A1435" s="2"/>
    </row>
    <row r="1436" spans="1:1" x14ac:dyDescent="0.35">
      <c r="A1436" s="2"/>
    </row>
    <row r="1437" spans="1:1" x14ac:dyDescent="0.35">
      <c r="A1437" s="2"/>
    </row>
    <row r="1438" spans="1:1" x14ac:dyDescent="0.35">
      <c r="A1438" s="2"/>
    </row>
    <row r="1439" spans="1:1" x14ac:dyDescent="0.35">
      <c r="A1439" s="2"/>
    </row>
    <row r="1440" spans="1:1" x14ac:dyDescent="0.35">
      <c r="A1440" s="2"/>
    </row>
    <row r="1441" spans="1:1" x14ac:dyDescent="0.35">
      <c r="A1441" s="2"/>
    </row>
    <row r="1442" spans="1:1" x14ac:dyDescent="0.35">
      <c r="A1442" s="2"/>
    </row>
    <row r="1443" spans="1:1" x14ac:dyDescent="0.35">
      <c r="A1443" s="2"/>
    </row>
    <row r="1444" spans="1:1" x14ac:dyDescent="0.35">
      <c r="A1444" s="2"/>
    </row>
    <row r="1445" spans="1:1" x14ac:dyDescent="0.35">
      <c r="A1445" s="2"/>
    </row>
    <row r="1446" spans="1:1" x14ac:dyDescent="0.35">
      <c r="A1446" s="2"/>
    </row>
    <row r="1447" spans="1:1" x14ac:dyDescent="0.35">
      <c r="A1447" s="2"/>
    </row>
    <row r="1448" spans="1:1" x14ac:dyDescent="0.35">
      <c r="A1448" s="2"/>
    </row>
    <row r="1449" spans="1:1" x14ac:dyDescent="0.35">
      <c r="A1449" s="2"/>
    </row>
    <row r="1450" spans="1:1" x14ac:dyDescent="0.35">
      <c r="A1450" s="2"/>
    </row>
    <row r="1451" spans="1:1" x14ac:dyDescent="0.35">
      <c r="A1451" s="2"/>
    </row>
    <row r="1452" spans="1:1" x14ac:dyDescent="0.35">
      <c r="A1452" s="2"/>
    </row>
    <row r="1453" spans="1:1" x14ac:dyDescent="0.35">
      <c r="A1453" s="2"/>
    </row>
    <row r="1454" spans="1:1" x14ac:dyDescent="0.35">
      <c r="A1454" s="2"/>
    </row>
    <row r="1455" spans="1:1" x14ac:dyDescent="0.35">
      <c r="A1455" s="2"/>
    </row>
    <row r="1456" spans="1:1" x14ac:dyDescent="0.35">
      <c r="A1456" s="2"/>
    </row>
    <row r="1457" spans="1:1" x14ac:dyDescent="0.35">
      <c r="A1457" s="2"/>
    </row>
    <row r="1458" spans="1:1" x14ac:dyDescent="0.35">
      <c r="A1458" s="2"/>
    </row>
    <row r="1459" spans="1:1" x14ac:dyDescent="0.35">
      <c r="A1459" s="2"/>
    </row>
    <row r="1460" spans="1:1" x14ac:dyDescent="0.35">
      <c r="A1460" s="2"/>
    </row>
    <row r="1461" spans="1:1" x14ac:dyDescent="0.35">
      <c r="A1461" s="2"/>
    </row>
    <row r="1462" spans="1:1" x14ac:dyDescent="0.35">
      <c r="A1462" s="2"/>
    </row>
    <row r="1463" spans="1:1" x14ac:dyDescent="0.35">
      <c r="A1463" s="2"/>
    </row>
    <row r="1464" spans="1:1" x14ac:dyDescent="0.35">
      <c r="A1464" s="2"/>
    </row>
    <row r="1465" spans="1:1" x14ac:dyDescent="0.35">
      <c r="A1465" s="2"/>
    </row>
    <row r="1466" spans="1:1" x14ac:dyDescent="0.35">
      <c r="A1466" s="2"/>
    </row>
    <row r="1467" spans="1:1" x14ac:dyDescent="0.35">
      <c r="A1467" s="2"/>
    </row>
    <row r="1468" spans="1:1" x14ac:dyDescent="0.35">
      <c r="A1468" s="2"/>
    </row>
    <row r="1469" spans="1:1" x14ac:dyDescent="0.35">
      <c r="A1469" s="2"/>
    </row>
    <row r="1470" spans="1:1" x14ac:dyDescent="0.35">
      <c r="A1470" s="2"/>
    </row>
    <row r="1471" spans="1:1" x14ac:dyDescent="0.35">
      <c r="A1471" s="2"/>
    </row>
    <row r="1472" spans="1:1" x14ac:dyDescent="0.35">
      <c r="A1472" s="2"/>
    </row>
    <row r="1473" spans="1:1" x14ac:dyDescent="0.35">
      <c r="A1473" s="2"/>
    </row>
    <row r="1474" spans="1:1" x14ac:dyDescent="0.35">
      <c r="A1474" s="2"/>
    </row>
    <row r="1475" spans="1:1" x14ac:dyDescent="0.35">
      <c r="A1475" s="2"/>
    </row>
    <row r="1476" spans="1:1" x14ac:dyDescent="0.35">
      <c r="A1476" s="2"/>
    </row>
    <row r="1477" spans="1:1" x14ac:dyDescent="0.35">
      <c r="A1477" s="2"/>
    </row>
    <row r="1478" spans="1:1" x14ac:dyDescent="0.35">
      <c r="A1478" s="2"/>
    </row>
    <row r="1479" spans="1:1" x14ac:dyDescent="0.35">
      <c r="A1479" s="2"/>
    </row>
    <row r="1480" spans="1:1" x14ac:dyDescent="0.35">
      <c r="A1480" s="2"/>
    </row>
    <row r="1481" spans="1:1" x14ac:dyDescent="0.35">
      <c r="A1481" s="2"/>
    </row>
    <row r="1482" spans="1:1" x14ac:dyDescent="0.35">
      <c r="A1482" s="2"/>
    </row>
    <row r="1483" spans="1:1" x14ac:dyDescent="0.35">
      <c r="A1483" s="2"/>
    </row>
    <row r="1484" spans="1:1" x14ac:dyDescent="0.35">
      <c r="A1484" s="2"/>
    </row>
    <row r="1485" spans="1:1" x14ac:dyDescent="0.35">
      <c r="A1485" s="2"/>
    </row>
    <row r="1486" spans="1:1" x14ac:dyDescent="0.35">
      <c r="A1486" s="2"/>
    </row>
    <row r="1487" spans="1:1" x14ac:dyDescent="0.35">
      <c r="A1487" s="2"/>
    </row>
    <row r="1488" spans="1:1" x14ac:dyDescent="0.35">
      <c r="A1488" s="2"/>
    </row>
    <row r="1489" spans="1:1" x14ac:dyDescent="0.35">
      <c r="A1489" s="2"/>
    </row>
    <row r="1490" spans="1:1" x14ac:dyDescent="0.35">
      <c r="A1490" s="2"/>
    </row>
    <row r="1491" spans="1:1" x14ac:dyDescent="0.35">
      <c r="A1491" s="2"/>
    </row>
    <row r="1492" spans="1:1" x14ac:dyDescent="0.35">
      <c r="A1492" s="2"/>
    </row>
    <row r="1493" spans="1:1" x14ac:dyDescent="0.35">
      <c r="A1493" s="2"/>
    </row>
    <row r="1494" spans="1:1" x14ac:dyDescent="0.35">
      <c r="A1494" s="2"/>
    </row>
    <row r="1495" spans="1:1" x14ac:dyDescent="0.35">
      <c r="A1495" s="2"/>
    </row>
    <row r="1496" spans="1:1" x14ac:dyDescent="0.35">
      <c r="A1496" s="2"/>
    </row>
    <row r="1497" spans="1:1" x14ac:dyDescent="0.35">
      <c r="A1497" s="2"/>
    </row>
    <row r="1498" spans="1:1" x14ac:dyDescent="0.35">
      <c r="A1498" s="2"/>
    </row>
    <row r="1499" spans="1:1" x14ac:dyDescent="0.35">
      <c r="A1499" s="2"/>
    </row>
    <row r="1500" spans="1:1" x14ac:dyDescent="0.35">
      <c r="A1500" s="2"/>
    </row>
    <row r="1501" spans="1:1" x14ac:dyDescent="0.35">
      <c r="A1501" s="2"/>
    </row>
    <row r="1502" spans="1:1" x14ac:dyDescent="0.35">
      <c r="A1502" s="2"/>
    </row>
    <row r="1503" spans="1:1" x14ac:dyDescent="0.35">
      <c r="A1503" s="2"/>
    </row>
    <row r="1504" spans="1:1" x14ac:dyDescent="0.35">
      <c r="A1504" s="2"/>
    </row>
    <row r="1505" spans="1:1" x14ac:dyDescent="0.35">
      <c r="A1505" s="2"/>
    </row>
    <row r="1506" spans="1:1" x14ac:dyDescent="0.35">
      <c r="A1506" s="2"/>
    </row>
    <row r="1507" spans="1:1" x14ac:dyDescent="0.35">
      <c r="A1507" s="2"/>
    </row>
    <row r="1508" spans="1:1" x14ac:dyDescent="0.35">
      <c r="A1508" s="2"/>
    </row>
    <row r="1509" spans="1:1" x14ac:dyDescent="0.35">
      <c r="A1509" s="2"/>
    </row>
    <row r="1510" spans="1:1" x14ac:dyDescent="0.35">
      <c r="A1510" s="2"/>
    </row>
    <row r="1511" spans="1:1" x14ac:dyDescent="0.35">
      <c r="A1511" s="2"/>
    </row>
    <row r="1512" spans="1:1" x14ac:dyDescent="0.35">
      <c r="A1512" s="2"/>
    </row>
    <row r="1513" spans="1:1" x14ac:dyDescent="0.35">
      <c r="A1513" s="2"/>
    </row>
    <row r="1514" spans="1:1" x14ac:dyDescent="0.35">
      <c r="A1514" s="2"/>
    </row>
    <row r="1515" spans="1:1" x14ac:dyDescent="0.35">
      <c r="A1515" s="2"/>
    </row>
    <row r="1516" spans="1:1" x14ac:dyDescent="0.35">
      <c r="A1516" s="2"/>
    </row>
    <row r="1517" spans="1:1" x14ac:dyDescent="0.35">
      <c r="A1517" s="2"/>
    </row>
    <row r="1518" spans="1:1" x14ac:dyDescent="0.35">
      <c r="A1518" s="2"/>
    </row>
    <row r="1519" spans="1:1" x14ac:dyDescent="0.35">
      <c r="A1519" s="2"/>
    </row>
    <row r="1520" spans="1:1" x14ac:dyDescent="0.35">
      <c r="A1520" s="2"/>
    </row>
    <row r="1521" spans="1:1" x14ac:dyDescent="0.35">
      <c r="A1521" s="2"/>
    </row>
    <row r="1522" spans="1:1" x14ac:dyDescent="0.35">
      <c r="A1522" s="2"/>
    </row>
    <row r="1523" spans="1:1" x14ac:dyDescent="0.35">
      <c r="A1523" s="2"/>
    </row>
    <row r="1524" spans="1:1" x14ac:dyDescent="0.35">
      <c r="A1524" s="2"/>
    </row>
    <row r="1525" spans="1:1" x14ac:dyDescent="0.35">
      <c r="A1525" s="2"/>
    </row>
    <row r="1526" spans="1:1" x14ac:dyDescent="0.35">
      <c r="A1526" s="2"/>
    </row>
    <row r="1527" spans="1:1" x14ac:dyDescent="0.35">
      <c r="A1527" s="2"/>
    </row>
    <row r="1528" spans="1:1" x14ac:dyDescent="0.35">
      <c r="A1528" s="2"/>
    </row>
    <row r="1529" spans="1:1" x14ac:dyDescent="0.35">
      <c r="A1529" s="2"/>
    </row>
    <row r="1530" spans="1:1" x14ac:dyDescent="0.35">
      <c r="A1530" s="2"/>
    </row>
    <row r="1531" spans="1:1" x14ac:dyDescent="0.35">
      <c r="A1531" s="2"/>
    </row>
    <row r="1532" spans="1:1" x14ac:dyDescent="0.35">
      <c r="A1532" s="2"/>
    </row>
    <row r="1533" spans="1:1" x14ac:dyDescent="0.35">
      <c r="A1533" s="2"/>
    </row>
    <row r="1534" spans="1:1" x14ac:dyDescent="0.35">
      <c r="A1534" s="2"/>
    </row>
    <row r="1535" spans="1:1" x14ac:dyDescent="0.35">
      <c r="A1535" s="2"/>
    </row>
    <row r="1536" spans="1:1" x14ac:dyDescent="0.35">
      <c r="A1536" s="2"/>
    </row>
    <row r="1537" spans="1:1" x14ac:dyDescent="0.35">
      <c r="A1537" s="2"/>
    </row>
    <row r="1538" spans="1:1" x14ac:dyDescent="0.35">
      <c r="A1538" s="2"/>
    </row>
    <row r="1539" spans="1:1" x14ac:dyDescent="0.35">
      <c r="A1539" s="2"/>
    </row>
    <row r="1540" spans="1:1" x14ac:dyDescent="0.35">
      <c r="A1540" s="2"/>
    </row>
    <row r="1541" spans="1:1" x14ac:dyDescent="0.35">
      <c r="A1541" s="2"/>
    </row>
    <row r="1542" spans="1:1" x14ac:dyDescent="0.35">
      <c r="A1542" s="2"/>
    </row>
    <row r="1543" spans="1:1" x14ac:dyDescent="0.35">
      <c r="A1543" s="2"/>
    </row>
    <row r="1544" spans="1:1" x14ac:dyDescent="0.35">
      <c r="A1544" s="2"/>
    </row>
    <row r="1545" spans="1:1" x14ac:dyDescent="0.35">
      <c r="A1545" s="2"/>
    </row>
    <row r="1546" spans="1:1" x14ac:dyDescent="0.35">
      <c r="A1546" s="2"/>
    </row>
    <row r="1547" spans="1:1" x14ac:dyDescent="0.35">
      <c r="A1547" s="2"/>
    </row>
    <row r="1548" spans="1:1" x14ac:dyDescent="0.35">
      <c r="A1548" s="2"/>
    </row>
    <row r="1549" spans="1:1" x14ac:dyDescent="0.35">
      <c r="A1549" s="2"/>
    </row>
    <row r="1550" spans="1:1" x14ac:dyDescent="0.35">
      <c r="A1550" s="2"/>
    </row>
    <row r="1551" spans="1:1" x14ac:dyDescent="0.35">
      <c r="A1551" s="2"/>
    </row>
    <row r="1552" spans="1:1" x14ac:dyDescent="0.35">
      <c r="A1552" s="2"/>
    </row>
    <row r="1553" spans="1:1" x14ac:dyDescent="0.35">
      <c r="A1553" s="2"/>
    </row>
    <row r="1554" spans="1:1" x14ac:dyDescent="0.35">
      <c r="A1554" s="2"/>
    </row>
    <row r="1555" spans="1:1" x14ac:dyDescent="0.35">
      <c r="A1555" s="2"/>
    </row>
    <row r="1556" spans="1:1" x14ac:dyDescent="0.35">
      <c r="A1556" s="2"/>
    </row>
    <row r="1557" spans="1:1" x14ac:dyDescent="0.35">
      <c r="A1557" s="2"/>
    </row>
    <row r="1558" spans="1:1" x14ac:dyDescent="0.35">
      <c r="A1558" s="2"/>
    </row>
    <row r="1559" spans="1:1" x14ac:dyDescent="0.35">
      <c r="A1559" s="2"/>
    </row>
    <row r="1560" spans="1:1" x14ac:dyDescent="0.35">
      <c r="A1560" s="2"/>
    </row>
    <row r="1561" spans="1:1" x14ac:dyDescent="0.35">
      <c r="A1561" s="2"/>
    </row>
    <row r="1562" spans="1:1" x14ac:dyDescent="0.35">
      <c r="A1562" s="2"/>
    </row>
    <row r="1563" spans="1:1" x14ac:dyDescent="0.35">
      <c r="A1563" s="2"/>
    </row>
    <row r="1564" spans="1:1" x14ac:dyDescent="0.35">
      <c r="A1564" s="2"/>
    </row>
    <row r="1565" spans="1:1" x14ac:dyDescent="0.35">
      <c r="A1565" s="2"/>
    </row>
    <row r="1566" spans="1:1" x14ac:dyDescent="0.35">
      <c r="A1566" s="2"/>
    </row>
    <row r="1567" spans="1:1" x14ac:dyDescent="0.35">
      <c r="A1567" s="2"/>
    </row>
    <row r="1568" spans="1:1" x14ac:dyDescent="0.35">
      <c r="A1568" s="2"/>
    </row>
    <row r="1569" spans="1:1" x14ac:dyDescent="0.35">
      <c r="A1569" s="2"/>
    </row>
    <row r="1570" spans="1:1" x14ac:dyDescent="0.35">
      <c r="A1570" s="2"/>
    </row>
    <row r="1571" spans="1:1" x14ac:dyDescent="0.35">
      <c r="A1571" s="2"/>
    </row>
    <row r="1572" spans="1:1" x14ac:dyDescent="0.35">
      <c r="A1572" s="2"/>
    </row>
    <row r="1573" spans="1:1" x14ac:dyDescent="0.35">
      <c r="A1573" s="2"/>
    </row>
    <row r="1574" spans="1:1" x14ac:dyDescent="0.35">
      <c r="A1574" s="2"/>
    </row>
    <row r="1575" spans="1:1" x14ac:dyDescent="0.35">
      <c r="A1575" s="2"/>
    </row>
    <row r="1576" spans="1:1" x14ac:dyDescent="0.35">
      <c r="A1576" s="2"/>
    </row>
    <row r="1577" spans="1:1" x14ac:dyDescent="0.35">
      <c r="A1577" s="2"/>
    </row>
    <row r="1578" spans="1:1" x14ac:dyDescent="0.35">
      <c r="A1578" s="2"/>
    </row>
    <row r="1579" spans="1:1" x14ac:dyDescent="0.35">
      <c r="A1579" s="2"/>
    </row>
    <row r="1580" spans="1:1" x14ac:dyDescent="0.35">
      <c r="A1580" s="2"/>
    </row>
    <row r="1581" spans="1:1" x14ac:dyDescent="0.35">
      <c r="A1581" s="2"/>
    </row>
    <row r="1582" spans="1:1" x14ac:dyDescent="0.35">
      <c r="A1582" s="2"/>
    </row>
    <row r="1583" spans="1:1" x14ac:dyDescent="0.35">
      <c r="A1583" s="2"/>
    </row>
    <row r="1584" spans="1:1" x14ac:dyDescent="0.35">
      <c r="A1584" s="2"/>
    </row>
    <row r="1585" spans="1:1" x14ac:dyDescent="0.35">
      <c r="A1585" s="2"/>
    </row>
    <row r="1586" spans="1:1" x14ac:dyDescent="0.35">
      <c r="A1586" s="2"/>
    </row>
    <row r="1587" spans="1:1" x14ac:dyDescent="0.35">
      <c r="A1587" s="2"/>
    </row>
    <row r="1588" spans="1:1" x14ac:dyDescent="0.35">
      <c r="A1588" s="2"/>
    </row>
    <row r="1589" spans="1:1" x14ac:dyDescent="0.35">
      <c r="A1589" s="2"/>
    </row>
    <row r="1590" spans="1:1" x14ac:dyDescent="0.35">
      <c r="A1590" s="2"/>
    </row>
    <row r="1591" spans="1:1" x14ac:dyDescent="0.35">
      <c r="A1591" s="2"/>
    </row>
    <row r="1592" spans="1:1" x14ac:dyDescent="0.35">
      <c r="A1592" s="2"/>
    </row>
    <row r="1593" spans="1:1" x14ac:dyDescent="0.35">
      <c r="A1593" s="2"/>
    </row>
    <row r="1594" spans="1:1" x14ac:dyDescent="0.35">
      <c r="A1594" s="2"/>
    </row>
    <row r="1595" spans="1:1" x14ac:dyDescent="0.35">
      <c r="A1595" s="2"/>
    </row>
    <row r="1596" spans="1:1" x14ac:dyDescent="0.35">
      <c r="A1596" s="2"/>
    </row>
    <row r="1597" spans="1:1" x14ac:dyDescent="0.35">
      <c r="A1597" s="2"/>
    </row>
    <row r="1598" spans="1:1" x14ac:dyDescent="0.35">
      <c r="A1598" s="2"/>
    </row>
    <row r="1599" spans="1:1" x14ac:dyDescent="0.35">
      <c r="A1599" s="2"/>
    </row>
    <row r="1600" spans="1:1" x14ac:dyDescent="0.35">
      <c r="A1600" s="2"/>
    </row>
    <row r="1601" spans="1:1" x14ac:dyDescent="0.35">
      <c r="A1601" s="2"/>
    </row>
    <row r="1602" spans="1:1" x14ac:dyDescent="0.35">
      <c r="A1602" s="2"/>
    </row>
    <row r="1603" spans="1:1" x14ac:dyDescent="0.35">
      <c r="A1603" s="2"/>
    </row>
    <row r="1604" spans="1:1" x14ac:dyDescent="0.35">
      <c r="A1604" s="2"/>
    </row>
    <row r="1605" spans="1:1" x14ac:dyDescent="0.35">
      <c r="A1605" s="2"/>
    </row>
    <row r="1606" spans="1:1" x14ac:dyDescent="0.35">
      <c r="A1606" s="2"/>
    </row>
    <row r="1607" spans="1:1" x14ac:dyDescent="0.35">
      <c r="A1607" s="2"/>
    </row>
    <row r="1608" spans="1:1" x14ac:dyDescent="0.35">
      <c r="A1608" s="2"/>
    </row>
    <row r="1609" spans="1:1" x14ac:dyDescent="0.35">
      <c r="A1609" s="2"/>
    </row>
    <row r="1610" spans="1:1" x14ac:dyDescent="0.35">
      <c r="A1610" s="2"/>
    </row>
    <row r="1611" spans="1:1" x14ac:dyDescent="0.35">
      <c r="A1611" s="2"/>
    </row>
    <row r="1612" spans="1:1" x14ac:dyDescent="0.35">
      <c r="A1612" s="2"/>
    </row>
    <row r="1613" spans="1:1" x14ac:dyDescent="0.35">
      <c r="A1613" s="2"/>
    </row>
    <row r="1614" spans="1:1" x14ac:dyDescent="0.35">
      <c r="A1614" s="2"/>
    </row>
    <row r="1615" spans="1:1" x14ac:dyDescent="0.35">
      <c r="A1615" s="2"/>
    </row>
    <row r="1616" spans="1:1" x14ac:dyDescent="0.35">
      <c r="A1616" s="2"/>
    </row>
    <row r="1617" spans="1:1" x14ac:dyDescent="0.35">
      <c r="A1617" s="2"/>
    </row>
    <row r="1618" spans="1:1" x14ac:dyDescent="0.35">
      <c r="A1618" s="2"/>
    </row>
    <row r="1619" spans="1:1" x14ac:dyDescent="0.35">
      <c r="A1619" s="2"/>
    </row>
    <row r="1620" spans="1:1" x14ac:dyDescent="0.35">
      <c r="A1620" s="2"/>
    </row>
    <row r="1621" spans="1:1" x14ac:dyDescent="0.35">
      <c r="A1621" s="2"/>
    </row>
    <row r="1622" spans="1:1" x14ac:dyDescent="0.35">
      <c r="A1622" s="2"/>
    </row>
    <row r="1623" spans="1:1" x14ac:dyDescent="0.35">
      <c r="A1623" s="2"/>
    </row>
    <row r="1624" spans="1:1" x14ac:dyDescent="0.35">
      <c r="A1624" s="2"/>
    </row>
    <row r="1625" spans="1:1" x14ac:dyDescent="0.35">
      <c r="A1625" s="2"/>
    </row>
    <row r="1626" spans="1:1" x14ac:dyDescent="0.35">
      <c r="A1626" s="2"/>
    </row>
    <row r="1627" spans="1:1" x14ac:dyDescent="0.35">
      <c r="A1627" s="2"/>
    </row>
    <row r="1628" spans="1:1" x14ac:dyDescent="0.35">
      <c r="A1628" s="2"/>
    </row>
    <row r="1629" spans="1:1" x14ac:dyDescent="0.35">
      <c r="A1629" s="2"/>
    </row>
    <row r="1630" spans="1:1" x14ac:dyDescent="0.35">
      <c r="A1630" s="2"/>
    </row>
    <row r="1631" spans="1:1" x14ac:dyDescent="0.35">
      <c r="A1631" s="2"/>
    </row>
    <row r="1632" spans="1:1" x14ac:dyDescent="0.35">
      <c r="A1632" s="2"/>
    </row>
    <row r="1633" spans="1:1" x14ac:dyDescent="0.35">
      <c r="A1633" s="2"/>
    </row>
    <row r="1634" spans="1:1" x14ac:dyDescent="0.35">
      <c r="A1634" s="2"/>
    </row>
    <row r="1635" spans="1:1" x14ac:dyDescent="0.35">
      <c r="A1635" s="2"/>
    </row>
    <row r="1636" spans="1:1" x14ac:dyDescent="0.35">
      <c r="A1636" s="2"/>
    </row>
    <row r="1637" spans="1:1" x14ac:dyDescent="0.35">
      <c r="A1637" s="2"/>
    </row>
    <row r="1638" spans="1:1" x14ac:dyDescent="0.35">
      <c r="A1638" s="2"/>
    </row>
    <row r="1639" spans="1:1" x14ac:dyDescent="0.35">
      <c r="A1639" s="2"/>
    </row>
    <row r="1640" spans="1:1" x14ac:dyDescent="0.35">
      <c r="A1640" s="2"/>
    </row>
    <row r="1641" spans="1:1" x14ac:dyDescent="0.35">
      <c r="A1641" s="2"/>
    </row>
    <row r="1642" spans="1:1" x14ac:dyDescent="0.35">
      <c r="A1642" s="2"/>
    </row>
    <row r="1643" spans="1:1" x14ac:dyDescent="0.35">
      <c r="A1643" s="2"/>
    </row>
    <row r="1644" spans="1:1" x14ac:dyDescent="0.35">
      <c r="A1644" s="2"/>
    </row>
    <row r="1645" spans="1:1" x14ac:dyDescent="0.35">
      <c r="A1645" s="2"/>
    </row>
    <row r="1646" spans="1:1" x14ac:dyDescent="0.35">
      <c r="A1646" s="2"/>
    </row>
    <row r="1647" spans="1:1" x14ac:dyDescent="0.35">
      <c r="A1647" s="2"/>
    </row>
    <row r="1648" spans="1:1" x14ac:dyDescent="0.35">
      <c r="A1648" s="2"/>
    </row>
    <row r="1649" spans="1:1" x14ac:dyDescent="0.35">
      <c r="A1649" s="2"/>
    </row>
    <row r="1650" spans="1:1" x14ac:dyDescent="0.35">
      <c r="A1650" s="2"/>
    </row>
    <row r="1651" spans="1:1" x14ac:dyDescent="0.35">
      <c r="A1651" s="2"/>
    </row>
    <row r="1652" spans="1:1" x14ac:dyDescent="0.35">
      <c r="A1652" s="2"/>
    </row>
    <row r="1653" spans="1:1" x14ac:dyDescent="0.35">
      <c r="A1653" s="2"/>
    </row>
    <row r="1654" spans="1:1" x14ac:dyDescent="0.35">
      <c r="A1654" s="2"/>
    </row>
    <row r="1655" spans="1:1" x14ac:dyDescent="0.35">
      <c r="A1655" s="2"/>
    </row>
    <row r="1656" spans="1:1" x14ac:dyDescent="0.35">
      <c r="A1656" s="2"/>
    </row>
    <row r="1657" spans="1:1" x14ac:dyDescent="0.35">
      <c r="A1657" s="2"/>
    </row>
    <row r="1658" spans="1:1" x14ac:dyDescent="0.35">
      <c r="A1658" s="2"/>
    </row>
    <row r="1659" spans="1:1" x14ac:dyDescent="0.35">
      <c r="A1659" s="2"/>
    </row>
    <row r="1660" spans="1:1" x14ac:dyDescent="0.35">
      <c r="A1660" s="2"/>
    </row>
    <row r="1661" spans="1:1" x14ac:dyDescent="0.35">
      <c r="A1661" s="2"/>
    </row>
    <row r="1662" spans="1:1" x14ac:dyDescent="0.35">
      <c r="A1662" s="2"/>
    </row>
    <row r="1663" spans="1:1" x14ac:dyDescent="0.35">
      <c r="A1663" s="2"/>
    </row>
    <row r="1664" spans="1:1" x14ac:dyDescent="0.35">
      <c r="A1664" s="2"/>
    </row>
    <row r="1665" spans="1:1" x14ac:dyDescent="0.35">
      <c r="A1665" s="2"/>
    </row>
    <row r="1666" spans="1:1" x14ac:dyDescent="0.35">
      <c r="A1666" s="2"/>
    </row>
    <row r="1667" spans="1:1" x14ac:dyDescent="0.35">
      <c r="A1667" s="2"/>
    </row>
    <row r="1668" spans="1:1" x14ac:dyDescent="0.35">
      <c r="A1668" s="2"/>
    </row>
    <row r="1669" spans="1:1" x14ac:dyDescent="0.35">
      <c r="A1669" s="2"/>
    </row>
    <row r="1670" spans="1:1" x14ac:dyDescent="0.35">
      <c r="A1670" s="2"/>
    </row>
    <row r="1671" spans="1:1" x14ac:dyDescent="0.35">
      <c r="A1671" s="2"/>
    </row>
    <row r="1672" spans="1:1" x14ac:dyDescent="0.35">
      <c r="A1672" s="2"/>
    </row>
    <row r="1673" spans="1:1" x14ac:dyDescent="0.35">
      <c r="A1673" s="2"/>
    </row>
    <row r="1674" spans="1:1" x14ac:dyDescent="0.35">
      <c r="A1674" s="2"/>
    </row>
    <row r="1675" spans="1:1" x14ac:dyDescent="0.35">
      <c r="A1675" s="2"/>
    </row>
    <row r="1676" spans="1:1" x14ac:dyDescent="0.35">
      <c r="A1676" s="2"/>
    </row>
    <row r="1677" spans="1:1" x14ac:dyDescent="0.35">
      <c r="A1677" s="2"/>
    </row>
    <row r="1678" spans="1:1" x14ac:dyDescent="0.35">
      <c r="A1678" s="2"/>
    </row>
    <row r="1679" spans="1:1" x14ac:dyDescent="0.35">
      <c r="A1679" s="2"/>
    </row>
    <row r="1680" spans="1:1" x14ac:dyDescent="0.35">
      <c r="A1680" s="2"/>
    </row>
    <row r="1681" spans="1:1" x14ac:dyDescent="0.35">
      <c r="A1681" s="2"/>
    </row>
    <row r="1682" spans="1:1" x14ac:dyDescent="0.35">
      <c r="A1682" s="2"/>
    </row>
    <row r="1683" spans="1:1" x14ac:dyDescent="0.35">
      <c r="A1683" s="2"/>
    </row>
    <row r="1684" spans="1:1" x14ac:dyDescent="0.35">
      <c r="A1684" s="2"/>
    </row>
    <row r="1685" spans="1:1" x14ac:dyDescent="0.35">
      <c r="A1685" s="2"/>
    </row>
    <row r="1686" spans="1:1" x14ac:dyDescent="0.35">
      <c r="A1686" s="2"/>
    </row>
    <row r="1687" spans="1:1" x14ac:dyDescent="0.35">
      <c r="A1687" s="2"/>
    </row>
    <row r="1688" spans="1:1" x14ac:dyDescent="0.35">
      <c r="A1688" s="2"/>
    </row>
    <row r="1689" spans="1:1" x14ac:dyDescent="0.35">
      <c r="A1689" s="2"/>
    </row>
    <row r="1690" spans="1:1" x14ac:dyDescent="0.35">
      <c r="A1690" s="2"/>
    </row>
    <row r="1691" spans="1:1" x14ac:dyDescent="0.35">
      <c r="A1691" s="2"/>
    </row>
    <row r="1692" spans="1:1" x14ac:dyDescent="0.35">
      <c r="A1692" s="2"/>
    </row>
    <row r="1693" spans="1:1" x14ac:dyDescent="0.35">
      <c r="A1693" s="2"/>
    </row>
    <row r="1694" spans="1:1" x14ac:dyDescent="0.35">
      <c r="A1694" s="2"/>
    </row>
    <row r="1695" spans="1:1" x14ac:dyDescent="0.35">
      <c r="A1695" s="2"/>
    </row>
    <row r="1696" spans="1:1" x14ac:dyDescent="0.35">
      <c r="A1696" s="2"/>
    </row>
    <row r="1697" spans="1:1" x14ac:dyDescent="0.35">
      <c r="A1697" s="2"/>
    </row>
    <row r="1698" spans="1:1" x14ac:dyDescent="0.35">
      <c r="A1698" s="2"/>
    </row>
    <row r="1699" spans="1:1" x14ac:dyDescent="0.35">
      <c r="A1699" s="2"/>
    </row>
    <row r="1700" spans="1:1" x14ac:dyDescent="0.35">
      <c r="A1700" s="2"/>
    </row>
    <row r="1701" spans="1:1" x14ac:dyDescent="0.35">
      <c r="A1701" s="2"/>
    </row>
    <row r="1702" spans="1:1" x14ac:dyDescent="0.35">
      <c r="A1702" s="2"/>
    </row>
    <row r="1703" spans="1:1" x14ac:dyDescent="0.35">
      <c r="A1703" s="2"/>
    </row>
    <row r="1704" spans="1:1" x14ac:dyDescent="0.35">
      <c r="A1704" s="2"/>
    </row>
    <row r="1705" spans="1:1" x14ac:dyDescent="0.35">
      <c r="A1705" s="2"/>
    </row>
    <row r="1706" spans="1:1" x14ac:dyDescent="0.35">
      <c r="A1706" s="2"/>
    </row>
    <row r="1707" spans="1:1" x14ac:dyDescent="0.35">
      <c r="A1707" s="2"/>
    </row>
    <row r="1708" spans="1:1" x14ac:dyDescent="0.35">
      <c r="A1708" s="2"/>
    </row>
    <row r="1709" spans="1:1" x14ac:dyDescent="0.35">
      <c r="A1709" s="2"/>
    </row>
    <row r="1710" spans="1:1" x14ac:dyDescent="0.35">
      <c r="A1710" s="2"/>
    </row>
    <row r="1711" spans="1:1" x14ac:dyDescent="0.35">
      <c r="A1711" s="2"/>
    </row>
    <row r="1712" spans="1:1" x14ac:dyDescent="0.35">
      <c r="A1712" s="2"/>
    </row>
    <row r="1713" spans="1:1" x14ac:dyDescent="0.35">
      <c r="A1713" s="2"/>
    </row>
    <row r="1714" spans="1:1" x14ac:dyDescent="0.35">
      <c r="A1714" s="2"/>
    </row>
    <row r="1715" spans="1:1" x14ac:dyDescent="0.35">
      <c r="A1715" s="2"/>
    </row>
    <row r="1716" spans="1:1" x14ac:dyDescent="0.35">
      <c r="A1716" s="2"/>
    </row>
    <row r="1717" spans="1:1" x14ac:dyDescent="0.35">
      <c r="A1717" s="2"/>
    </row>
    <row r="1718" spans="1:1" x14ac:dyDescent="0.35">
      <c r="A1718" s="2"/>
    </row>
    <row r="1719" spans="1:1" x14ac:dyDescent="0.35">
      <c r="A1719" s="2"/>
    </row>
    <row r="1720" spans="1:1" x14ac:dyDescent="0.35">
      <c r="A1720" s="2"/>
    </row>
    <row r="1721" spans="1:1" x14ac:dyDescent="0.35">
      <c r="A1721" s="2"/>
    </row>
    <row r="1722" spans="1:1" x14ac:dyDescent="0.35">
      <c r="A1722" s="2"/>
    </row>
    <row r="1723" spans="1:1" x14ac:dyDescent="0.35">
      <c r="A1723" s="2"/>
    </row>
    <row r="1724" spans="1:1" x14ac:dyDescent="0.35">
      <c r="A1724" s="2"/>
    </row>
    <row r="1725" spans="1:1" x14ac:dyDescent="0.35">
      <c r="A1725" s="2"/>
    </row>
    <row r="1726" spans="1:1" x14ac:dyDescent="0.35">
      <c r="A1726" s="2"/>
    </row>
    <row r="1727" spans="1:1" x14ac:dyDescent="0.35">
      <c r="A1727" s="2"/>
    </row>
    <row r="1728" spans="1:1" x14ac:dyDescent="0.35">
      <c r="A1728" s="2"/>
    </row>
    <row r="1729" spans="1:1" x14ac:dyDescent="0.35">
      <c r="A1729" s="2"/>
    </row>
    <row r="1730" spans="1:1" x14ac:dyDescent="0.35">
      <c r="A1730" s="2"/>
    </row>
    <row r="1731" spans="1:1" x14ac:dyDescent="0.35">
      <c r="A1731" s="2"/>
    </row>
    <row r="1732" spans="1:1" x14ac:dyDescent="0.35">
      <c r="A1732" s="2"/>
    </row>
    <row r="1733" spans="1:1" x14ac:dyDescent="0.35">
      <c r="A1733" s="2"/>
    </row>
    <row r="1734" spans="1:1" x14ac:dyDescent="0.35">
      <c r="A1734" s="2"/>
    </row>
    <row r="1735" spans="1:1" x14ac:dyDescent="0.35">
      <c r="A1735" s="2"/>
    </row>
    <row r="1736" spans="1:1" x14ac:dyDescent="0.35">
      <c r="A1736" s="2"/>
    </row>
    <row r="1737" spans="1:1" x14ac:dyDescent="0.35">
      <c r="A1737" s="2"/>
    </row>
    <row r="1738" spans="1:1" x14ac:dyDescent="0.35">
      <c r="A1738" s="2"/>
    </row>
    <row r="1739" spans="1:1" x14ac:dyDescent="0.35">
      <c r="A1739" s="2"/>
    </row>
    <row r="1740" spans="1:1" x14ac:dyDescent="0.35">
      <c r="A1740" s="2"/>
    </row>
    <row r="1741" spans="1:1" x14ac:dyDescent="0.35">
      <c r="A1741" s="2"/>
    </row>
    <row r="1742" spans="1:1" x14ac:dyDescent="0.35">
      <c r="A1742" s="2"/>
    </row>
    <row r="1743" spans="1:1" x14ac:dyDescent="0.35">
      <c r="A1743" s="2"/>
    </row>
    <row r="1744" spans="1:1" x14ac:dyDescent="0.35">
      <c r="A1744" s="2"/>
    </row>
    <row r="1745" spans="1:1" x14ac:dyDescent="0.35">
      <c r="A1745" s="2"/>
    </row>
    <row r="1746" spans="1:1" x14ac:dyDescent="0.35">
      <c r="A1746" s="2"/>
    </row>
    <row r="1747" spans="1:1" x14ac:dyDescent="0.35">
      <c r="A1747" s="2"/>
    </row>
    <row r="1748" spans="1:1" x14ac:dyDescent="0.35">
      <c r="A1748" s="2"/>
    </row>
    <row r="1749" spans="1:1" x14ac:dyDescent="0.35">
      <c r="A1749" s="2"/>
    </row>
    <row r="1750" spans="1:1" x14ac:dyDescent="0.35">
      <c r="A1750" s="2"/>
    </row>
    <row r="1751" spans="1:1" x14ac:dyDescent="0.35">
      <c r="A1751" s="2"/>
    </row>
    <row r="1752" spans="1:1" x14ac:dyDescent="0.35">
      <c r="A1752" s="2"/>
    </row>
    <row r="1753" spans="1:1" x14ac:dyDescent="0.35">
      <c r="A1753" s="2"/>
    </row>
    <row r="1754" spans="1:1" x14ac:dyDescent="0.35">
      <c r="A1754" s="2"/>
    </row>
    <row r="1755" spans="1:1" x14ac:dyDescent="0.35">
      <c r="A1755" s="2"/>
    </row>
    <row r="1756" spans="1:1" x14ac:dyDescent="0.35">
      <c r="A1756" s="2"/>
    </row>
    <row r="1757" spans="1:1" x14ac:dyDescent="0.35">
      <c r="A1757" s="2"/>
    </row>
    <row r="1758" spans="1:1" x14ac:dyDescent="0.35">
      <c r="A1758" s="2"/>
    </row>
    <row r="1759" spans="1:1" x14ac:dyDescent="0.35">
      <c r="A1759" s="2"/>
    </row>
    <row r="1760" spans="1:1" x14ac:dyDescent="0.35">
      <c r="A1760" s="2"/>
    </row>
    <row r="1761" spans="1:1" x14ac:dyDescent="0.35">
      <c r="A1761" s="2"/>
    </row>
    <row r="1762" spans="1:1" x14ac:dyDescent="0.35">
      <c r="A1762" s="2"/>
    </row>
    <row r="1763" spans="1:1" x14ac:dyDescent="0.35">
      <c r="A1763" s="2"/>
    </row>
    <row r="1764" spans="1:1" x14ac:dyDescent="0.35">
      <c r="A1764" s="2"/>
    </row>
    <row r="1765" spans="1:1" x14ac:dyDescent="0.35">
      <c r="A1765" s="2"/>
    </row>
    <row r="1766" spans="1:1" x14ac:dyDescent="0.35">
      <c r="A1766" s="2"/>
    </row>
    <row r="1767" spans="1:1" x14ac:dyDescent="0.35">
      <c r="A1767" s="2"/>
    </row>
    <row r="1768" spans="1:1" x14ac:dyDescent="0.35">
      <c r="A1768" s="2"/>
    </row>
    <row r="1769" spans="1:1" x14ac:dyDescent="0.35">
      <c r="A1769" s="2"/>
    </row>
    <row r="1770" spans="1:1" x14ac:dyDescent="0.35">
      <c r="A1770" s="2"/>
    </row>
    <row r="1771" spans="1:1" x14ac:dyDescent="0.35">
      <c r="A1771" s="2"/>
    </row>
    <row r="1772" spans="1:1" x14ac:dyDescent="0.35">
      <c r="A1772" s="2"/>
    </row>
    <row r="1773" spans="1:1" x14ac:dyDescent="0.35">
      <c r="A1773" s="2"/>
    </row>
    <row r="1774" spans="1:1" x14ac:dyDescent="0.35">
      <c r="A1774" s="2"/>
    </row>
    <row r="1775" spans="1:1" x14ac:dyDescent="0.35">
      <c r="A1775" s="2"/>
    </row>
    <row r="1776" spans="1:1" x14ac:dyDescent="0.35">
      <c r="A1776" s="2"/>
    </row>
    <row r="1777" spans="1:1" x14ac:dyDescent="0.35">
      <c r="A1777" s="2"/>
    </row>
    <row r="1778" spans="1:1" x14ac:dyDescent="0.35">
      <c r="A1778" s="2"/>
    </row>
    <row r="1779" spans="1:1" x14ac:dyDescent="0.35">
      <c r="A1779" s="2"/>
    </row>
    <row r="1780" spans="1:1" x14ac:dyDescent="0.35">
      <c r="A1780" s="2"/>
    </row>
    <row r="1781" spans="1:1" x14ac:dyDescent="0.35">
      <c r="A1781" s="2"/>
    </row>
    <row r="1782" spans="1:1" x14ac:dyDescent="0.35">
      <c r="A1782" s="2"/>
    </row>
    <row r="1783" spans="1:1" x14ac:dyDescent="0.35">
      <c r="A1783" s="2"/>
    </row>
    <row r="1784" spans="1:1" x14ac:dyDescent="0.35">
      <c r="A1784" s="2"/>
    </row>
    <row r="1785" spans="1:1" x14ac:dyDescent="0.35">
      <c r="A1785" s="2"/>
    </row>
    <row r="1786" spans="1:1" x14ac:dyDescent="0.35">
      <c r="A1786" s="2"/>
    </row>
    <row r="1787" spans="1:1" x14ac:dyDescent="0.35">
      <c r="A1787" s="2"/>
    </row>
    <row r="1788" spans="1:1" x14ac:dyDescent="0.35">
      <c r="A1788" s="2"/>
    </row>
    <row r="1789" spans="1:1" x14ac:dyDescent="0.35">
      <c r="A1789" s="2"/>
    </row>
    <row r="1790" spans="1:1" x14ac:dyDescent="0.35">
      <c r="A1790" s="2"/>
    </row>
    <row r="1791" spans="1:1" x14ac:dyDescent="0.35">
      <c r="A1791" s="2"/>
    </row>
    <row r="1792" spans="1:1" x14ac:dyDescent="0.35">
      <c r="A1792" s="2"/>
    </row>
    <row r="1793" spans="1:1" x14ac:dyDescent="0.35">
      <c r="A1793" s="2"/>
    </row>
    <row r="1794" spans="1:1" x14ac:dyDescent="0.35">
      <c r="A1794" s="2"/>
    </row>
    <row r="1795" spans="1:1" x14ac:dyDescent="0.35">
      <c r="A1795" s="2"/>
    </row>
    <row r="1796" spans="1:1" x14ac:dyDescent="0.35">
      <c r="A1796" s="2"/>
    </row>
    <row r="1797" spans="1:1" x14ac:dyDescent="0.35">
      <c r="A1797" s="2"/>
    </row>
    <row r="1798" spans="1:1" x14ac:dyDescent="0.35">
      <c r="A1798" s="2"/>
    </row>
    <row r="1799" spans="1:1" x14ac:dyDescent="0.35">
      <c r="A1799" s="2"/>
    </row>
    <row r="1800" spans="1:1" x14ac:dyDescent="0.35">
      <c r="A1800" s="2"/>
    </row>
    <row r="1801" spans="1:1" x14ac:dyDescent="0.35">
      <c r="A1801" s="2"/>
    </row>
    <row r="1802" spans="1:1" x14ac:dyDescent="0.35">
      <c r="A1802" s="2"/>
    </row>
    <row r="1803" spans="1:1" x14ac:dyDescent="0.35">
      <c r="A1803" s="2"/>
    </row>
    <row r="1804" spans="1:1" x14ac:dyDescent="0.35">
      <c r="A1804" s="2"/>
    </row>
    <row r="1805" spans="1:1" x14ac:dyDescent="0.35">
      <c r="A1805" s="2"/>
    </row>
    <row r="1806" spans="1:1" x14ac:dyDescent="0.35">
      <c r="A1806" s="2"/>
    </row>
    <row r="1807" spans="1:1" x14ac:dyDescent="0.35">
      <c r="A1807" s="2"/>
    </row>
    <row r="1808" spans="1:1" x14ac:dyDescent="0.35">
      <c r="A1808" s="2"/>
    </row>
    <row r="1809" spans="1:1" x14ac:dyDescent="0.35">
      <c r="A1809" s="2"/>
    </row>
    <row r="1810" spans="1:1" x14ac:dyDescent="0.35">
      <c r="A1810" s="2"/>
    </row>
    <row r="1811" spans="1:1" x14ac:dyDescent="0.35">
      <c r="A1811" s="2"/>
    </row>
    <row r="1812" spans="1:1" x14ac:dyDescent="0.35">
      <c r="A1812" s="2"/>
    </row>
    <row r="1813" spans="1:1" x14ac:dyDescent="0.35">
      <c r="A1813" s="2"/>
    </row>
    <row r="1814" spans="1:1" x14ac:dyDescent="0.35">
      <c r="A1814" s="2"/>
    </row>
    <row r="1815" spans="1:1" x14ac:dyDescent="0.35">
      <c r="A1815" s="2"/>
    </row>
    <row r="1816" spans="1:1" x14ac:dyDescent="0.35">
      <c r="A1816" s="2"/>
    </row>
    <row r="1817" spans="1:1" x14ac:dyDescent="0.35">
      <c r="A1817" s="2"/>
    </row>
    <row r="1818" spans="1:1" x14ac:dyDescent="0.35">
      <c r="A1818" s="2"/>
    </row>
    <row r="1819" spans="1:1" x14ac:dyDescent="0.35">
      <c r="A1819" s="2"/>
    </row>
    <row r="1820" spans="1:1" x14ac:dyDescent="0.35">
      <c r="A1820" s="2"/>
    </row>
    <row r="1821" spans="1:1" x14ac:dyDescent="0.35">
      <c r="A1821" s="2"/>
    </row>
    <row r="1822" spans="1:1" x14ac:dyDescent="0.35">
      <c r="A1822" s="2"/>
    </row>
    <row r="1823" spans="1:1" x14ac:dyDescent="0.35">
      <c r="A1823" s="2"/>
    </row>
    <row r="1824" spans="1:1" x14ac:dyDescent="0.35">
      <c r="A1824" s="2"/>
    </row>
    <row r="1825" spans="1:1" x14ac:dyDescent="0.35">
      <c r="A1825" s="2"/>
    </row>
    <row r="1826" spans="1:1" x14ac:dyDescent="0.35">
      <c r="A1826" s="2"/>
    </row>
    <row r="1827" spans="1:1" x14ac:dyDescent="0.35">
      <c r="A1827" s="2"/>
    </row>
    <row r="1828" spans="1:1" x14ac:dyDescent="0.35">
      <c r="A1828" s="2"/>
    </row>
    <row r="1829" spans="1:1" x14ac:dyDescent="0.35">
      <c r="A1829" s="2"/>
    </row>
    <row r="1830" spans="1:1" x14ac:dyDescent="0.35">
      <c r="A1830" s="2"/>
    </row>
    <row r="1831" spans="1:1" x14ac:dyDescent="0.35">
      <c r="A1831" s="2"/>
    </row>
    <row r="1832" spans="1:1" x14ac:dyDescent="0.35">
      <c r="A1832" s="2"/>
    </row>
    <row r="1833" spans="1:1" x14ac:dyDescent="0.35">
      <c r="A1833" s="2"/>
    </row>
    <row r="1834" spans="1:1" x14ac:dyDescent="0.35">
      <c r="A1834" s="2"/>
    </row>
    <row r="1835" spans="1:1" x14ac:dyDescent="0.35">
      <c r="A1835" s="2"/>
    </row>
    <row r="1836" spans="1:1" x14ac:dyDescent="0.35">
      <c r="A1836" s="2"/>
    </row>
    <row r="1837" spans="1:1" x14ac:dyDescent="0.35">
      <c r="A1837" s="2"/>
    </row>
    <row r="1838" spans="1:1" x14ac:dyDescent="0.35">
      <c r="A1838" s="2"/>
    </row>
    <row r="1839" spans="1:1" x14ac:dyDescent="0.35">
      <c r="A1839" s="2"/>
    </row>
    <row r="1840" spans="1:1" x14ac:dyDescent="0.35">
      <c r="A1840" s="2"/>
    </row>
    <row r="1841" spans="1:1" x14ac:dyDescent="0.35">
      <c r="A1841" s="2"/>
    </row>
    <row r="1842" spans="1:1" x14ac:dyDescent="0.35">
      <c r="A1842" s="2"/>
    </row>
    <row r="1843" spans="1:1" x14ac:dyDescent="0.35">
      <c r="A1843" s="2"/>
    </row>
    <row r="1844" spans="1:1" x14ac:dyDescent="0.35">
      <c r="A1844" s="2"/>
    </row>
    <row r="1845" spans="1:1" x14ac:dyDescent="0.35">
      <c r="A1845" s="2"/>
    </row>
    <row r="1846" spans="1:1" x14ac:dyDescent="0.35">
      <c r="A1846" s="2"/>
    </row>
    <row r="1847" spans="1:1" x14ac:dyDescent="0.35">
      <c r="A1847" s="2"/>
    </row>
    <row r="1848" spans="1:1" x14ac:dyDescent="0.35">
      <c r="A1848" s="2"/>
    </row>
    <row r="1849" spans="1:1" x14ac:dyDescent="0.35">
      <c r="A1849" s="2"/>
    </row>
    <row r="1850" spans="1:1" x14ac:dyDescent="0.35">
      <c r="A1850" s="2"/>
    </row>
    <row r="1851" spans="1:1" x14ac:dyDescent="0.35">
      <c r="A1851" s="2"/>
    </row>
    <row r="1852" spans="1:1" x14ac:dyDescent="0.35">
      <c r="A1852" s="2"/>
    </row>
    <row r="1853" spans="1:1" x14ac:dyDescent="0.35">
      <c r="A1853" s="2"/>
    </row>
    <row r="1854" spans="1:1" x14ac:dyDescent="0.35">
      <c r="A1854" s="2"/>
    </row>
    <row r="1855" spans="1:1" x14ac:dyDescent="0.35">
      <c r="A1855" s="2"/>
    </row>
    <row r="1856" spans="1:1" x14ac:dyDescent="0.35">
      <c r="A1856" s="2"/>
    </row>
    <row r="1857" spans="1:1" x14ac:dyDescent="0.35">
      <c r="A1857" s="2"/>
    </row>
    <row r="1858" spans="1:1" x14ac:dyDescent="0.35">
      <c r="A1858" s="2"/>
    </row>
    <row r="1859" spans="1:1" x14ac:dyDescent="0.35">
      <c r="A1859" s="2"/>
    </row>
    <row r="1860" spans="1:1" x14ac:dyDescent="0.35">
      <c r="A1860" s="2"/>
    </row>
    <row r="1861" spans="1:1" x14ac:dyDescent="0.35">
      <c r="A1861" s="2"/>
    </row>
    <row r="1862" spans="1:1" x14ac:dyDescent="0.35">
      <c r="A1862" s="2"/>
    </row>
    <row r="1863" spans="1:1" x14ac:dyDescent="0.35">
      <c r="A1863" s="2"/>
    </row>
    <row r="1864" spans="1:1" x14ac:dyDescent="0.35">
      <c r="A1864" s="2"/>
    </row>
    <row r="1865" spans="1:1" x14ac:dyDescent="0.35">
      <c r="A1865" s="2"/>
    </row>
    <row r="1866" spans="1:1" x14ac:dyDescent="0.35">
      <c r="A1866" s="2"/>
    </row>
    <row r="1867" spans="1:1" x14ac:dyDescent="0.35">
      <c r="A1867" s="2"/>
    </row>
    <row r="1868" spans="1:1" x14ac:dyDescent="0.35">
      <c r="A1868" s="2"/>
    </row>
    <row r="1869" spans="1:1" x14ac:dyDescent="0.35">
      <c r="A1869" s="2"/>
    </row>
    <row r="1870" spans="1:1" x14ac:dyDescent="0.35">
      <c r="A1870" s="2"/>
    </row>
    <row r="1871" spans="1:1" x14ac:dyDescent="0.35">
      <c r="A1871" s="2"/>
    </row>
    <row r="1872" spans="1:1" x14ac:dyDescent="0.35">
      <c r="A1872" s="2"/>
    </row>
    <row r="1873" spans="1:1" x14ac:dyDescent="0.35">
      <c r="A1873" s="2"/>
    </row>
    <row r="1874" spans="1:1" x14ac:dyDescent="0.35">
      <c r="A1874" s="2"/>
    </row>
    <row r="1875" spans="1:1" x14ac:dyDescent="0.35">
      <c r="A1875" s="2"/>
    </row>
    <row r="1876" spans="1:1" x14ac:dyDescent="0.35">
      <c r="A1876" s="2"/>
    </row>
    <row r="1877" spans="1:1" x14ac:dyDescent="0.35">
      <c r="A1877" s="2"/>
    </row>
    <row r="1878" spans="1:1" x14ac:dyDescent="0.35">
      <c r="A1878" s="2"/>
    </row>
    <row r="1879" spans="1:1" x14ac:dyDescent="0.35">
      <c r="A1879" s="2"/>
    </row>
    <row r="1880" spans="1:1" x14ac:dyDescent="0.35">
      <c r="A1880" s="2"/>
    </row>
    <row r="1881" spans="1:1" x14ac:dyDescent="0.35">
      <c r="A1881" s="2"/>
    </row>
    <row r="1882" spans="1:1" x14ac:dyDescent="0.35">
      <c r="A1882" s="2"/>
    </row>
    <row r="1883" spans="1:1" x14ac:dyDescent="0.35">
      <c r="A1883" s="2"/>
    </row>
    <row r="1884" spans="1:1" x14ac:dyDescent="0.35">
      <c r="A1884" s="2"/>
    </row>
    <row r="1885" spans="1:1" x14ac:dyDescent="0.35">
      <c r="A1885" s="2"/>
    </row>
    <row r="1886" spans="1:1" x14ac:dyDescent="0.35">
      <c r="A1886" s="2"/>
    </row>
    <row r="1887" spans="1:1" x14ac:dyDescent="0.35">
      <c r="A1887" s="2"/>
    </row>
    <row r="1888" spans="1:1" x14ac:dyDescent="0.35">
      <c r="A1888" s="2"/>
    </row>
    <row r="1889" spans="1:1" x14ac:dyDescent="0.35">
      <c r="A1889" s="2"/>
    </row>
    <row r="1890" spans="1:1" x14ac:dyDescent="0.35">
      <c r="A1890" s="2"/>
    </row>
    <row r="1891" spans="1:1" x14ac:dyDescent="0.35">
      <c r="A1891" s="2"/>
    </row>
    <row r="1892" spans="1:1" x14ac:dyDescent="0.35">
      <c r="A1892" s="2"/>
    </row>
    <row r="1893" spans="1:1" x14ac:dyDescent="0.35">
      <c r="A1893" s="2"/>
    </row>
    <row r="1894" spans="1:1" x14ac:dyDescent="0.35">
      <c r="A1894" s="2"/>
    </row>
    <row r="1895" spans="1:1" x14ac:dyDescent="0.35">
      <c r="A1895" s="2"/>
    </row>
    <row r="1896" spans="1:1" x14ac:dyDescent="0.35">
      <c r="A1896" s="2"/>
    </row>
    <row r="1897" spans="1:1" x14ac:dyDescent="0.35">
      <c r="A1897" s="2"/>
    </row>
    <row r="1898" spans="1:1" x14ac:dyDescent="0.35">
      <c r="A1898" s="2"/>
    </row>
    <row r="1899" spans="1:1" x14ac:dyDescent="0.35">
      <c r="A1899" s="2"/>
    </row>
    <row r="1900" spans="1:1" x14ac:dyDescent="0.35">
      <c r="A1900" s="2"/>
    </row>
    <row r="1901" spans="1:1" x14ac:dyDescent="0.35">
      <c r="A1901" s="2"/>
    </row>
    <row r="1902" spans="1:1" x14ac:dyDescent="0.35">
      <c r="A1902" s="2"/>
    </row>
    <row r="1903" spans="1:1" x14ac:dyDescent="0.35">
      <c r="A1903" s="2"/>
    </row>
    <row r="1904" spans="1:1" x14ac:dyDescent="0.35">
      <c r="A1904" s="2"/>
    </row>
    <row r="1905" spans="1:1" x14ac:dyDescent="0.35">
      <c r="A1905" s="2"/>
    </row>
    <row r="1906" spans="1:1" x14ac:dyDescent="0.35">
      <c r="A1906" s="2"/>
    </row>
    <row r="1907" spans="1:1" x14ac:dyDescent="0.35">
      <c r="A1907" s="2"/>
    </row>
    <row r="1908" spans="1:1" x14ac:dyDescent="0.35">
      <c r="A1908" s="2"/>
    </row>
    <row r="1909" spans="1:1" x14ac:dyDescent="0.35">
      <c r="A1909" s="2"/>
    </row>
    <row r="1910" spans="1:1" x14ac:dyDescent="0.35">
      <c r="A1910" s="2"/>
    </row>
    <row r="1911" spans="1:1" x14ac:dyDescent="0.35">
      <c r="A1911" s="2"/>
    </row>
    <row r="1912" spans="1:1" x14ac:dyDescent="0.35">
      <c r="A1912" s="2"/>
    </row>
    <row r="1913" spans="1:1" x14ac:dyDescent="0.35">
      <c r="A1913" s="2"/>
    </row>
    <row r="1914" spans="1:1" x14ac:dyDescent="0.35">
      <c r="A1914" s="2"/>
    </row>
    <row r="1915" spans="1:1" x14ac:dyDescent="0.35">
      <c r="A1915" s="2"/>
    </row>
    <row r="1916" spans="1:1" x14ac:dyDescent="0.35">
      <c r="A1916" s="2"/>
    </row>
    <row r="1917" spans="1:1" x14ac:dyDescent="0.35">
      <c r="A1917" s="2"/>
    </row>
    <row r="1918" spans="1:1" x14ac:dyDescent="0.35">
      <c r="A1918" s="2"/>
    </row>
    <row r="1919" spans="1:1" x14ac:dyDescent="0.35">
      <c r="A1919" s="2"/>
    </row>
    <row r="1920" spans="1:1" x14ac:dyDescent="0.35">
      <c r="A1920" s="2"/>
    </row>
    <row r="1921" spans="1:1" x14ac:dyDescent="0.35">
      <c r="A1921" s="2"/>
    </row>
    <row r="1922" spans="1:1" x14ac:dyDescent="0.35">
      <c r="A1922" s="2"/>
    </row>
    <row r="1923" spans="1:1" x14ac:dyDescent="0.35">
      <c r="A1923" s="2"/>
    </row>
    <row r="1924" spans="1:1" x14ac:dyDescent="0.35">
      <c r="A1924" s="2"/>
    </row>
    <row r="1925" spans="1:1" x14ac:dyDescent="0.35">
      <c r="A1925" s="2"/>
    </row>
    <row r="1926" spans="1:1" x14ac:dyDescent="0.35">
      <c r="A1926" s="2"/>
    </row>
    <row r="1927" spans="1:1" x14ac:dyDescent="0.35">
      <c r="A1927" s="2"/>
    </row>
    <row r="1928" spans="1:1" x14ac:dyDescent="0.35">
      <c r="A1928" s="2"/>
    </row>
    <row r="1929" spans="1:1" x14ac:dyDescent="0.35">
      <c r="A1929" s="2"/>
    </row>
    <row r="1930" spans="1:1" x14ac:dyDescent="0.35">
      <c r="A1930" s="2"/>
    </row>
    <row r="1931" spans="1:1" x14ac:dyDescent="0.35">
      <c r="A1931" s="2"/>
    </row>
    <row r="1932" spans="1:1" x14ac:dyDescent="0.35">
      <c r="A1932" s="2"/>
    </row>
    <row r="1933" spans="1:1" x14ac:dyDescent="0.35">
      <c r="A1933" s="2"/>
    </row>
    <row r="1934" spans="1:1" x14ac:dyDescent="0.35">
      <c r="A1934" s="2"/>
    </row>
    <row r="1935" spans="1:1" x14ac:dyDescent="0.35">
      <c r="A1935" s="2"/>
    </row>
    <row r="1936" spans="1:1" x14ac:dyDescent="0.35">
      <c r="A1936" s="2"/>
    </row>
    <row r="1937" spans="1:1" x14ac:dyDescent="0.35">
      <c r="A1937" s="2"/>
    </row>
    <row r="1938" spans="1:1" x14ac:dyDescent="0.35">
      <c r="A1938" s="2"/>
    </row>
    <row r="1939" spans="1:1" x14ac:dyDescent="0.35">
      <c r="A1939" s="2"/>
    </row>
    <row r="1940" spans="1:1" x14ac:dyDescent="0.35">
      <c r="A1940" s="2"/>
    </row>
    <row r="1941" spans="1:1" x14ac:dyDescent="0.35">
      <c r="A1941" s="2"/>
    </row>
    <row r="1942" spans="1:1" x14ac:dyDescent="0.35">
      <c r="A1942" s="2"/>
    </row>
    <row r="1943" spans="1:1" x14ac:dyDescent="0.35">
      <c r="A1943" s="2"/>
    </row>
    <row r="1944" spans="1:1" x14ac:dyDescent="0.35">
      <c r="A1944" s="2"/>
    </row>
    <row r="1945" spans="1:1" x14ac:dyDescent="0.35">
      <c r="A1945" s="2"/>
    </row>
    <row r="1946" spans="1:1" x14ac:dyDescent="0.35">
      <c r="A1946" s="2"/>
    </row>
    <row r="1947" spans="1:1" x14ac:dyDescent="0.35">
      <c r="A1947" s="2"/>
    </row>
    <row r="1948" spans="1:1" x14ac:dyDescent="0.35">
      <c r="A1948" s="2"/>
    </row>
    <row r="1949" spans="1:1" x14ac:dyDescent="0.35">
      <c r="A1949" s="2"/>
    </row>
    <row r="1950" spans="1:1" x14ac:dyDescent="0.35">
      <c r="A1950" s="2"/>
    </row>
    <row r="1951" spans="1:1" x14ac:dyDescent="0.35">
      <c r="A1951" s="2"/>
    </row>
    <row r="1952" spans="1:1" x14ac:dyDescent="0.35">
      <c r="A1952" s="2"/>
    </row>
    <row r="1953" spans="1:1" x14ac:dyDescent="0.35">
      <c r="A1953" s="2"/>
    </row>
    <row r="1954" spans="1:1" x14ac:dyDescent="0.35">
      <c r="A1954" s="2"/>
    </row>
    <row r="1955" spans="1:1" x14ac:dyDescent="0.35">
      <c r="A1955" s="2"/>
    </row>
    <row r="1956" spans="1:1" x14ac:dyDescent="0.35">
      <c r="A1956" s="2"/>
    </row>
    <row r="1957" spans="1:1" x14ac:dyDescent="0.35">
      <c r="A1957" s="2"/>
    </row>
    <row r="1958" spans="1:1" x14ac:dyDescent="0.35">
      <c r="A1958" s="2"/>
    </row>
    <row r="1959" spans="1:1" x14ac:dyDescent="0.35">
      <c r="A1959" s="2"/>
    </row>
    <row r="1960" spans="1:1" x14ac:dyDescent="0.35">
      <c r="A1960" s="2"/>
    </row>
    <row r="1961" spans="1:1" x14ac:dyDescent="0.35">
      <c r="A1961" s="2"/>
    </row>
    <row r="1962" spans="1:1" x14ac:dyDescent="0.35">
      <c r="A1962" s="2"/>
    </row>
    <row r="1963" spans="1:1" x14ac:dyDescent="0.35">
      <c r="A1963" s="2"/>
    </row>
    <row r="1964" spans="1:1" x14ac:dyDescent="0.35">
      <c r="A1964" s="2"/>
    </row>
    <row r="1965" spans="1:1" x14ac:dyDescent="0.35">
      <c r="A1965" s="2"/>
    </row>
    <row r="1966" spans="1:1" x14ac:dyDescent="0.35">
      <c r="A1966" s="2"/>
    </row>
    <row r="1967" spans="1:1" x14ac:dyDescent="0.35">
      <c r="A1967" s="2"/>
    </row>
    <row r="1968" spans="1:1" x14ac:dyDescent="0.35">
      <c r="A1968" s="2"/>
    </row>
    <row r="1969" spans="1:1" x14ac:dyDescent="0.35">
      <c r="A1969" s="2"/>
    </row>
    <row r="1970" spans="1:1" x14ac:dyDescent="0.35">
      <c r="A1970" s="2"/>
    </row>
    <row r="1971" spans="1:1" x14ac:dyDescent="0.35">
      <c r="A1971" s="2"/>
    </row>
    <row r="1972" spans="1:1" x14ac:dyDescent="0.35">
      <c r="A1972" s="2"/>
    </row>
    <row r="1973" spans="1:1" x14ac:dyDescent="0.35">
      <c r="A1973" s="2"/>
    </row>
    <row r="1974" spans="1:1" x14ac:dyDescent="0.35">
      <c r="A1974" s="2"/>
    </row>
    <row r="1975" spans="1:1" x14ac:dyDescent="0.35">
      <c r="A1975" s="2"/>
    </row>
    <row r="1976" spans="1:1" x14ac:dyDescent="0.35">
      <c r="A1976" s="2"/>
    </row>
    <row r="1977" spans="1:1" x14ac:dyDescent="0.35">
      <c r="A1977" s="2"/>
    </row>
    <row r="1978" spans="1:1" x14ac:dyDescent="0.35">
      <c r="A1978" s="2"/>
    </row>
    <row r="1979" spans="1:1" x14ac:dyDescent="0.35">
      <c r="A1979" s="2"/>
    </row>
    <row r="1980" spans="1:1" x14ac:dyDescent="0.35">
      <c r="A1980" s="2"/>
    </row>
    <row r="1981" spans="1:1" x14ac:dyDescent="0.35">
      <c r="A1981" s="2"/>
    </row>
    <row r="1982" spans="1:1" x14ac:dyDescent="0.35">
      <c r="A1982" s="2"/>
    </row>
    <row r="1983" spans="1:1" x14ac:dyDescent="0.35">
      <c r="A1983" s="2"/>
    </row>
    <row r="1984" spans="1:1" x14ac:dyDescent="0.35">
      <c r="A1984" s="2"/>
    </row>
    <row r="1985" spans="1:1" x14ac:dyDescent="0.35">
      <c r="A1985" s="2"/>
    </row>
    <row r="1986" spans="1:1" x14ac:dyDescent="0.35">
      <c r="A1986" s="2"/>
    </row>
    <row r="1987" spans="1:1" x14ac:dyDescent="0.35">
      <c r="A1987" s="2"/>
    </row>
    <row r="1988" spans="1:1" x14ac:dyDescent="0.35">
      <c r="A1988" s="2"/>
    </row>
    <row r="1989" spans="1:1" x14ac:dyDescent="0.35">
      <c r="A1989" s="2"/>
    </row>
    <row r="1990" spans="1:1" x14ac:dyDescent="0.35">
      <c r="A1990" s="2"/>
    </row>
    <row r="1991" spans="1:1" x14ac:dyDescent="0.35">
      <c r="A1991" s="2"/>
    </row>
    <row r="1992" spans="1:1" x14ac:dyDescent="0.35">
      <c r="A1992" s="2"/>
    </row>
    <row r="1993" spans="1:1" x14ac:dyDescent="0.35">
      <c r="A1993" s="2"/>
    </row>
    <row r="1994" spans="1:1" x14ac:dyDescent="0.35">
      <c r="A1994" s="2"/>
    </row>
    <row r="1995" spans="1:1" x14ac:dyDescent="0.35">
      <c r="A1995" s="2"/>
    </row>
    <row r="1996" spans="1:1" x14ac:dyDescent="0.35">
      <c r="A1996" s="2"/>
    </row>
    <row r="1997" spans="1:1" x14ac:dyDescent="0.35">
      <c r="A1997" s="2"/>
    </row>
    <row r="1998" spans="1:1" x14ac:dyDescent="0.35">
      <c r="A1998" s="2"/>
    </row>
    <row r="1999" spans="1:1" x14ac:dyDescent="0.35">
      <c r="A1999" s="2"/>
    </row>
    <row r="2000" spans="1:1" x14ac:dyDescent="0.35">
      <c r="A2000" s="2"/>
    </row>
    <row r="2001" spans="1:1" x14ac:dyDescent="0.35">
      <c r="A2001" s="2"/>
    </row>
    <row r="2002" spans="1:1" x14ac:dyDescent="0.35">
      <c r="A2002" s="2"/>
    </row>
    <row r="2003" spans="1:1" x14ac:dyDescent="0.35">
      <c r="A2003" s="2"/>
    </row>
    <row r="2004" spans="1:1" x14ac:dyDescent="0.35">
      <c r="A2004" s="2"/>
    </row>
    <row r="2005" spans="1:1" x14ac:dyDescent="0.35">
      <c r="A2005" s="2"/>
    </row>
    <row r="2006" spans="1:1" x14ac:dyDescent="0.35">
      <c r="A2006" s="2"/>
    </row>
    <row r="2007" spans="1:1" x14ac:dyDescent="0.35">
      <c r="A2007" s="2"/>
    </row>
    <row r="2008" spans="1:1" x14ac:dyDescent="0.35">
      <c r="A2008" s="2"/>
    </row>
    <row r="2009" spans="1:1" x14ac:dyDescent="0.35">
      <c r="A2009" s="2"/>
    </row>
    <row r="2010" spans="1:1" x14ac:dyDescent="0.35">
      <c r="A2010" s="2"/>
    </row>
    <row r="2011" spans="1:1" x14ac:dyDescent="0.35">
      <c r="A2011" s="2"/>
    </row>
    <row r="2012" spans="1:1" x14ac:dyDescent="0.35">
      <c r="A2012" s="2"/>
    </row>
    <row r="2013" spans="1:1" x14ac:dyDescent="0.35">
      <c r="A2013" s="2"/>
    </row>
    <row r="2014" spans="1:1" x14ac:dyDescent="0.35">
      <c r="A2014" s="2"/>
    </row>
    <row r="2015" spans="1:1" x14ac:dyDescent="0.35">
      <c r="A2015" s="2"/>
    </row>
    <row r="2016" spans="1:1" x14ac:dyDescent="0.35">
      <c r="A2016" s="2"/>
    </row>
    <row r="2017" spans="1:1" x14ac:dyDescent="0.35">
      <c r="A2017" s="2"/>
    </row>
    <row r="2018" spans="1:1" x14ac:dyDescent="0.35">
      <c r="A2018" s="2"/>
    </row>
    <row r="2019" spans="1:1" x14ac:dyDescent="0.35">
      <c r="A2019" s="2"/>
    </row>
    <row r="2020" spans="1:1" x14ac:dyDescent="0.35">
      <c r="A2020" s="2"/>
    </row>
    <row r="2021" spans="1:1" x14ac:dyDescent="0.35">
      <c r="A2021" s="2"/>
    </row>
    <row r="2022" spans="1:1" x14ac:dyDescent="0.35">
      <c r="A2022" s="2"/>
    </row>
    <row r="2023" spans="1:1" x14ac:dyDescent="0.35">
      <c r="A2023" s="2"/>
    </row>
    <row r="2024" spans="1:1" x14ac:dyDescent="0.35">
      <c r="A2024" s="2"/>
    </row>
    <row r="2025" spans="1:1" x14ac:dyDescent="0.35">
      <c r="A2025" s="2"/>
    </row>
    <row r="2026" spans="1:1" x14ac:dyDescent="0.35">
      <c r="A2026" s="2"/>
    </row>
    <row r="2027" spans="1:1" x14ac:dyDescent="0.35">
      <c r="A2027" s="2"/>
    </row>
    <row r="2028" spans="1:1" x14ac:dyDescent="0.35">
      <c r="A2028" s="2"/>
    </row>
    <row r="2029" spans="1:1" x14ac:dyDescent="0.35">
      <c r="A2029" s="2"/>
    </row>
    <row r="2030" spans="1:1" x14ac:dyDescent="0.35">
      <c r="A2030" s="2"/>
    </row>
    <row r="2031" spans="1:1" x14ac:dyDescent="0.35">
      <c r="A2031" s="2"/>
    </row>
    <row r="2032" spans="1:1" x14ac:dyDescent="0.35">
      <c r="A2032" s="2"/>
    </row>
    <row r="2033" spans="1:1" x14ac:dyDescent="0.35">
      <c r="A2033" s="2"/>
    </row>
    <row r="2034" spans="1:1" x14ac:dyDescent="0.35">
      <c r="A2034" s="2"/>
    </row>
    <row r="2035" spans="1:1" x14ac:dyDescent="0.35">
      <c r="A2035" s="2"/>
    </row>
    <row r="2036" spans="1:1" x14ac:dyDescent="0.35">
      <c r="A2036" s="2"/>
    </row>
    <row r="2037" spans="1:1" x14ac:dyDescent="0.35">
      <c r="A2037" s="2"/>
    </row>
    <row r="2038" spans="1:1" x14ac:dyDescent="0.35">
      <c r="A2038" s="2"/>
    </row>
    <row r="2039" spans="1:1" x14ac:dyDescent="0.35">
      <c r="A2039" s="2"/>
    </row>
    <row r="2040" spans="1:1" x14ac:dyDescent="0.35">
      <c r="A2040" s="2"/>
    </row>
    <row r="2041" spans="1:1" x14ac:dyDescent="0.35">
      <c r="A2041" s="2"/>
    </row>
    <row r="2042" spans="1:1" x14ac:dyDescent="0.35">
      <c r="A2042" s="2"/>
    </row>
    <row r="2043" spans="1:1" x14ac:dyDescent="0.35">
      <c r="A2043" s="2"/>
    </row>
    <row r="2044" spans="1:1" x14ac:dyDescent="0.35">
      <c r="A2044" s="2"/>
    </row>
    <row r="2045" spans="1:1" x14ac:dyDescent="0.35">
      <c r="A2045" s="2"/>
    </row>
    <row r="2046" spans="1:1" x14ac:dyDescent="0.35">
      <c r="A2046" s="2"/>
    </row>
    <row r="2047" spans="1:1" x14ac:dyDescent="0.35">
      <c r="A2047" s="2"/>
    </row>
    <row r="2048" spans="1:1" x14ac:dyDescent="0.35">
      <c r="A2048" s="2"/>
    </row>
    <row r="2049" spans="1:1" x14ac:dyDescent="0.35">
      <c r="A2049" s="2"/>
    </row>
    <row r="2050" spans="1:1" x14ac:dyDescent="0.35">
      <c r="A2050" s="2"/>
    </row>
    <row r="2051" spans="1:1" x14ac:dyDescent="0.35">
      <c r="A2051" s="2"/>
    </row>
    <row r="2052" spans="1:1" x14ac:dyDescent="0.35">
      <c r="A2052" s="2"/>
    </row>
    <row r="2053" spans="1:1" x14ac:dyDescent="0.35">
      <c r="A2053" s="2"/>
    </row>
    <row r="2054" spans="1:1" x14ac:dyDescent="0.35">
      <c r="A2054" s="2"/>
    </row>
    <row r="2055" spans="1:1" x14ac:dyDescent="0.35">
      <c r="A2055" s="2"/>
    </row>
    <row r="2056" spans="1:1" x14ac:dyDescent="0.35">
      <c r="A2056" s="2"/>
    </row>
    <row r="2057" spans="1:1" x14ac:dyDescent="0.35">
      <c r="A2057" s="2"/>
    </row>
    <row r="2058" spans="1:1" x14ac:dyDescent="0.35">
      <c r="A2058" s="2"/>
    </row>
    <row r="2059" spans="1:1" x14ac:dyDescent="0.35">
      <c r="A2059" s="2"/>
    </row>
    <row r="2060" spans="1:1" x14ac:dyDescent="0.35">
      <c r="A2060" s="2"/>
    </row>
    <row r="2061" spans="1:1" x14ac:dyDescent="0.35">
      <c r="A2061" s="2"/>
    </row>
    <row r="2062" spans="1:1" x14ac:dyDescent="0.35">
      <c r="A2062" s="2"/>
    </row>
    <row r="2063" spans="1:1" x14ac:dyDescent="0.35">
      <c r="A2063" s="2"/>
    </row>
    <row r="2064" spans="1:1" x14ac:dyDescent="0.35">
      <c r="A2064" s="2"/>
    </row>
    <row r="2065" spans="1:1" x14ac:dyDescent="0.35">
      <c r="A2065" s="2"/>
    </row>
    <row r="2066" spans="1:1" x14ac:dyDescent="0.35">
      <c r="A2066" s="2"/>
    </row>
    <row r="2067" spans="1:1" x14ac:dyDescent="0.35">
      <c r="A2067" s="2"/>
    </row>
    <row r="2068" spans="1:1" x14ac:dyDescent="0.35">
      <c r="A2068" s="2"/>
    </row>
    <row r="2069" spans="1:1" x14ac:dyDescent="0.35">
      <c r="A2069" s="2"/>
    </row>
    <row r="2070" spans="1:1" x14ac:dyDescent="0.35">
      <c r="A2070" s="2"/>
    </row>
    <row r="2071" spans="1:1" x14ac:dyDescent="0.35">
      <c r="A2071" s="2"/>
    </row>
    <row r="2072" spans="1:1" x14ac:dyDescent="0.35">
      <c r="A2072" s="2"/>
    </row>
    <row r="2073" spans="1:1" x14ac:dyDescent="0.35">
      <c r="A2073" s="2"/>
    </row>
    <row r="2074" spans="1:1" x14ac:dyDescent="0.35">
      <c r="A2074" s="2"/>
    </row>
    <row r="2075" spans="1:1" x14ac:dyDescent="0.35">
      <c r="A2075" s="2"/>
    </row>
    <row r="2076" spans="1:1" x14ac:dyDescent="0.35">
      <c r="A2076" s="2"/>
    </row>
    <row r="2077" spans="1:1" x14ac:dyDescent="0.35">
      <c r="A2077" s="2"/>
    </row>
    <row r="2078" spans="1:1" x14ac:dyDescent="0.35">
      <c r="A2078" s="2"/>
    </row>
    <row r="2079" spans="1:1" x14ac:dyDescent="0.35">
      <c r="A2079" s="2"/>
    </row>
    <row r="2080" spans="1:1" x14ac:dyDescent="0.35">
      <c r="A2080" s="2"/>
    </row>
    <row r="2081" spans="1:1" x14ac:dyDescent="0.35">
      <c r="A2081" s="2"/>
    </row>
    <row r="2082" spans="1:1" x14ac:dyDescent="0.35">
      <c r="A2082" s="2"/>
    </row>
    <row r="2083" spans="1:1" x14ac:dyDescent="0.35">
      <c r="A2083" s="2"/>
    </row>
    <row r="2084" spans="1:1" x14ac:dyDescent="0.35">
      <c r="A2084" s="2"/>
    </row>
    <row r="2085" spans="1:1" x14ac:dyDescent="0.35">
      <c r="A2085" s="2"/>
    </row>
    <row r="2086" spans="1:1" x14ac:dyDescent="0.35">
      <c r="A2086" s="2"/>
    </row>
    <row r="2087" spans="1:1" x14ac:dyDescent="0.35">
      <c r="A2087" s="2"/>
    </row>
    <row r="2088" spans="1:1" x14ac:dyDescent="0.35">
      <c r="A2088" s="2"/>
    </row>
    <row r="2089" spans="1:1" x14ac:dyDescent="0.35">
      <c r="A2089" s="2"/>
    </row>
    <row r="2090" spans="1:1" x14ac:dyDescent="0.35">
      <c r="A2090" s="2"/>
    </row>
    <row r="2091" spans="1:1" x14ac:dyDescent="0.35">
      <c r="A2091" s="2"/>
    </row>
    <row r="2092" spans="1:1" x14ac:dyDescent="0.35">
      <c r="A2092" s="2"/>
    </row>
    <row r="2093" spans="1:1" x14ac:dyDescent="0.35">
      <c r="A2093" s="2"/>
    </row>
    <row r="2094" spans="1:1" x14ac:dyDescent="0.35">
      <c r="A2094" s="2"/>
    </row>
    <row r="2095" spans="1:1" x14ac:dyDescent="0.35">
      <c r="A2095" s="2"/>
    </row>
    <row r="2096" spans="1:1" x14ac:dyDescent="0.35">
      <c r="A2096" s="2"/>
    </row>
    <row r="2097" spans="1:1" x14ac:dyDescent="0.35">
      <c r="A2097" s="2"/>
    </row>
    <row r="2098" spans="1:1" x14ac:dyDescent="0.35">
      <c r="A2098" s="2"/>
    </row>
    <row r="2099" spans="1:1" x14ac:dyDescent="0.35">
      <c r="A2099" s="2"/>
    </row>
    <row r="2100" spans="1:1" x14ac:dyDescent="0.35">
      <c r="A2100" s="2"/>
    </row>
    <row r="2101" spans="1:1" x14ac:dyDescent="0.35">
      <c r="A2101" s="2"/>
    </row>
    <row r="2102" spans="1:1" x14ac:dyDescent="0.35">
      <c r="A2102" s="2"/>
    </row>
    <row r="2103" spans="1:1" x14ac:dyDescent="0.35">
      <c r="A2103" s="2"/>
    </row>
    <row r="2104" spans="1:1" x14ac:dyDescent="0.35">
      <c r="A2104" s="2"/>
    </row>
    <row r="2105" spans="1:1" x14ac:dyDescent="0.35">
      <c r="A2105" s="2"/>
    </row>
    <row r="2106" spans="1:1" x14ac:dyDescent="0.35">
      <c r="A2106" s="2"/>
    </row>
    <row r="2107" spans="1:1" x14ac:dyDescent="0.35">
      <c r="A2107" s="2"/>
    </row>
    <row r="2108" spans="1:1" x14ac:dyDescent="0.35">
      <c r="A2108" s="2"/>
    </row>
    <row r="2109" spans="1:1" x14ac:dyDescent="0.35">
      <c r="A2109" s="2"/>
    </row>
    <row r="2110" spans="1:1" x14ac:dyDescent="0.35">
      <c r="A2110" s="2"/>
    </row>
    <row r="2111" spans="1:1" x14ac:dyDescent="0.35">
      <c r="A2111" s="2"/>
    </row>
    <row r="2112" spans="1:1" x14ac:dyDescent="0.35">
      <c r="A2112" s="2"/>
    </row>
    <row r="2113" spans="1:1" x14ac:dyDescent="0.35">
      <c r="A2113" s="2"/>
    </row>
    <row r="2114" spans="1:1" x14ac:dyDescent="0.35">
      <c r="A2114" s="2"/>
    </row>
    <row r="2115" spans="1:1" x14ac:dyDescent="0.35">
      <c r="A2115" s="2"/>
    </row>
    <row r="2116" spans="1:1" x14ac:dyDescent="0.35">
      <c r="A2116" s="2"/>
    </row>
    <row r="2117" spans="1:1" x14ac:dyDescent="0.35">
      <c r="A2117" s="2"/>
    </row>
    <row r="2118" spans="1:1" x14ac:dyDescent="0.35">
      <c r="A2118" s="2"/>
    </row>
    <row r="2119" spans="1:1" x14ac:dyDescent="0.35">
      <c r="A2119" s="2"/>
    </row>
    <row r="2120" spans="1:1" x14ac:dyDescent="0.35">
      <c r="A2120" s="2"/>
    </row>
    <row r="2121" spans="1:1" x14ac:dyDescent="0.35">
      <c r="A2121" s="2"/>
    </row>
    <row r="2122" spans="1:1" x14ac:dyDescent="0.35">
      <c r="A2122" s="2"/>
    </row>
    <row r="2123" spans="1:1" x14ac:dyDescent="0.35">
      <c r="A2123" s="2"/>
    </row>
    <row r="2124" spans="1:1" x14ac:dyDescent="0.35">
      <c r="A2124" s="2"/>
    </row>
    <row r="2125" spans="1:1" x14ac:dyDescent="0.35">
      <c r="A2125" s="2"/>
    </row>
    <row r="2126" spans="1:1" x14ac:dyDescent="0.35">
      <c r="A2126" s="2"/>
    </row>
    <row r="2127" spans="1:1" x14ac:dyDescent="0.35">
      <c r="A2127" s="2"/>
    </row>
    <row r="2128" spans="1:1" x14ac:dyDescent="0.35">
      <c r="A2128" s="2"/>
    </row>
    <row r="2129" spans="1:1" x14ac:dyDescent="0.35">
      <c r="A2129" s="2"/>
    </row>
    <row r="2130" spans="1:1" x14ac:dyDescent="0.35">
      <c r="A2130" s="2"/>
    </row>
    <row r="2131" spans="1:1" x14ac:dyDescent="0.35">
      <c r="A2131" s="2"/>
    </row>
    <row r="2132" spans="1:1" x14ac:dyDescent="0.35">
      <c r="A2132" s="2"/>
    </row>
    <row r="2133" spans="1:1" x14ac:dyDescent="0.35">
      <c r="A2133" s="2"/>
    </row>
    <row r="2134" spans="1:1" x14ac:dyDescent="0.35">
      <c r="A2134" s="2"/>
    </row>
    <row r="2135" spans="1:1" x14ac:dyDescent="0.35">
      <c r="A2135" s="2"/>
    </row>
    <row r="2136" spans="1:1" x14ac:dyDescent="0.35">
      <c r="A2136" s="2"/>
    </row>
    <row r="2137" spans="1:1" x14ac:dyDescent="0.35">
      <c r="A2137" s="2"/>
    </row>
    <row r="2138" spans="1:1" x14ac:dyDescent="0.35">
      <c r="A2138" s="2"/>
    </row>
    <row r="2139" spans="1:1" x14ac:dyDescent="0.35">
      <c r="A2139" s="2"/>
    </row>
    <row r="2140" spans="1:1" x14ac:dyDescent="0.35">
      <c r="A2140" s="2"/>
    </row>
    <row r="2141" spans="1:1" x14ac:dyDescent="0.35">
      <c r="A2141" s="2"/>
    </row>
    <row r="2142" spans="1:1" x14ac:dyDescent="0.35">
      <c r="A2142" s="2"/>
    </row>
    <row r="2143" spans="1:1" x14ac:dyDescent="0.35">
      <c r="A2143" s="2"/>
    </row>
    <row r="2144" spans="1:1" x14ac:dyDescent="0.35">
      <c r="A2144" s="2"/>
    </row>
    <row r="2145" spans="1:1" x14ac:dyDescent="0.35">
      <c r="A2145" s="2"/>
    </row>
    <row r="2146" spans="1:1" x14ac:dyDescent="0.35">
      <c r="A2146" s="2"/>
    </row>
    <row r="2147" spans="1:1" x14ac:dyDescent="0.35">
      <c r="A2147" s="2"/>
    </row>
    <row r="2148" spans="1:1" x14ac:dyDescent="0.35">
      <c r="A2148" s="2"/>
    </row>
    <row r="2149" spans="1:1" x14ac:dyDescent="0.35">
      <c r="A2149" s="2"/>
    </row>
    <row r="2150" spans="1:1" x14ac:dyDescent="0.35">
      <c r="A2150" s="2"/>
    </row>
    <row r="2151" spans="1:1" x14ac:dyDescent="0.35">
      <c r="A2151" s="2"/>
    </row>
    <row r="2152" spans="1:1" x14ac:dyDescent="0.35">
      <c r="A2152" s="2"/>
    </row>
    <row r="2153" spans="1:1" x14ac:dyDescent="0.35">
      <c r="A2153" s="2"/>
    </row>
    <row r="2154" spans="1:1" x14ac:dyDescent="0.35">
      <c r="A2154" s="2"/>
    </row>
    <row r="2155" spans="1:1" x14ac:dyDescent="0.35">
      <c r="A2155" s="2"/>
    </row>
    <row r="2156" spans="1:1" x14ac:dyDescent="0.35">
      <c r="A2156" s="2"/>
    </row>
    <row r="2157" spans="1:1" x14ac:dyDescent="0.35">
      <c r="A2157" s="2"/>
    </row>
    <row r="2158" spans="1:1" x14ac:dyDescent="0.35">
      <c r="A2158" s="2"/>
    </row>
    <row r="2159" spans="1:1" x14ac:dyDescent="0.35">
      <c r="A2159" s="2"/>
    </row>
    <row r="2160" spans="1:1" x14ac:dyDescent="0.35">
      <c r="A2160" s="2"/>
    </row>
    <row r="2161" spans="1:1" x14ac:dyDescent="0.35">
      <c r="A2161" s="2"/>
    </row>
    <row r="2162" spans="1:1" x14ac:dyDescent="0.35">
      <c r="A2162" s="2"/>
    </row>
    <row r="2163" spans="1:1" x14ac:dyDescent="0.35">
      <c r="A2163" s="2"/>
    </row>
    <row r="2164" spans="1:1" x14ac:dyDescent="0.35">
      <c r="A2164" s="2"/>
    </row>
    <row r="2165" spans="1:1" x14ac:dyDescent="0.35">
      <c r="A2165" s="2"/>
    </row>
    <row r="2166" spans="1:1" x14ac:dyDescent="0.35">
      <c r="A2166" s="2"/>
    </row>
    <row r="2167" spans="1:1" x14ac:dyDescent="0.35">
      <c r="A2167" s="2"/>
    </row>
    <row r="2168" spans="1:1" x14ac:dyDescent="0.35">
      <c r="A2168" s="2"/>
    </row>
    <row r="2169" spans="1:1" x14ac:dyDescent="0.35">
      <c r="A2169" s="2"/>
    </row>
    <row r="2170" spans="1:1" x14ac:dyDescent="0.35">
      <c r="A2170" s="2"/>
    </row>
    <row r="2171" spans="1:1" x14ac:dyDescent="0.35">
      <c r="A2171" s="2"/>
    </row>
    <row r="2172" spans="1:1" x14ac:dyDescent="0.35">
      <c r="A2172" s="2"/>
    </row>
    <row r="2173" spans="1:1" x14ac:dyDescent="0.35">
      <c r="A2173" s="2"/>
    </row>
    <row r="2174" spans="1:1" x14ac:dyDescent="0.35">
      <c r="A2174" s="2"/>
    </row>
    <row r="2175" spans="1:1" x14ac:dyDescent="0.35">
      <c r="A2175" s="2"/>
    </row>
    <row r="2176" spans="1:1" x14ac:dyDescent="0.35">
      <c r="A2176" s="2"/>
    </row>
    <row r="2177" spans="1:1" x14ac:dyDescent="0.35">
      <c r="A2177" s="2"/>
    </row>
    <row r="2178" spans="1:1" x14ac:dyDescent="0.35">
      <c r="A2178" s="2"/>
    </row>
    <row r="2179" spans="1:1" x14ac:dyDescent="0.35">
      <c r="A2179" s="2"/>
    </row>
    <row r="2180" spans="1:1" x14ac:dyDescent="0.35">
      <c r="A2180" s="2"/>
    </row>
    <row r="2181" spans="1:1" x14ac:dyDescent="0.35">
      <c r="A2181" s="2"/>
    </row>
    <row r="2182" spans="1:1" x14ac:dyDescent="0.35">
      <c r="A2182" s="2"/>
    </row>
    <row r="2183" spans="1:1" x14ac:dyDescent="0.35">
      <c r="A2183" s="2"/>
    </row>
    <row r="2184" spans="1:1" x14ac:dyDescent="0.35">
      <c r="A2184" s="2"/>
    </row>
    <row r="2185" spans="1:1" x14ac:dyDescent="0.35">
      <c r="A2185" s="2"/>
    </row>
    <row r="2186" spans="1:1" x14ac:dyDescent="0.35">
      <c r="A2186" s="2"/>
    </row>
    <row r="2187" spans="1:1" x14ac:dyDescent="0.35">
      <c r="A2187" s="2"/>
    </row>
    <row r="2188" spans="1:1" x14ac:dyDescent="0.35">
      <c r="A2188" s="2"/>
    </row>
    <row r="2189" spans="1:1" x14ac:dyDescent="0.35">
      <c r="A2189" s="2"/>
    </row>
    <row r="2190" spans="1:1" x14ac:dyDescent="0.35">
      <c r="A2190" s="2"/>
    </row>
    <row r="2191" spans="1:1" x14ac:dyDescent="0.35">
      <c r="A2191" s="2"/>
    </row>
    <row r="2192" spans="1:1" x14ac:dyDescent="0.35">
      <c r="A2192" s="2"/>
    </row>
    <row r="2193" spans="1:1" x14ac:dyDescent="0.35">
      <c r="A2193" s="2"/>
    </row>
    <row r="2194" spans="1:1" x14ac:dyDescent="0.35">
      <c r="A2194" s="2"/>
    </row>
    <row r="2195" spans="1:1" x14ac:dyDescent="0.35">
      <c r="A2195" s="2"/>
    </row>
    <row r="2196" spans="1:1" x14ac:dyDescent="0.35">
      <c r="A2196" s="2"/>
    </row>
    <row r="2197" spans="1:1" x14ac:dyDescent="0.35">
      <c r="A2197" s="2"/>
    </row>
    <row r="2198" spans="1:1" x14ac:dyDescent="0.35">
      <c r="A2198" s="2"/>
    </row>
    <row r="2199" spans="1:1" x14ac:dyDescent="0.35">
      <c r="A2199" s="2"/>
    </row>
    <row r="2200" spans="1:1" x14ac:dyDescent="0.35">
      <c r="A2200" s="2"/>
    </row>
    <row r="2201" spans="1:1" x14ac:dyDescent="0.35">
      <c r="A2201" s="2"/>
    </row>
    <row r="2202" spans="1:1" x14ac:dyDescent="0.35">
      <c r="A2202" s="2"/>
    </row>
    <row r="2203" spans="1:1" x14ac:dyDescent="0.35">
      <c r="A2203" s="2"/>
    </row>
    <row r="2204" spans="1:1" x14ac:dyDescent="0.35">
      <c r="A2204" s="2"/>
    </row>
    <row r="2205" spans="1:1" x14ac:dyDescent="0.35">
      <c r="A2205" s="2"/>
    </row>
    <row r="2206" spans="1:1" x14ac:dyDescent="0.35">
      <c r="A2206" s="2"/>
    </row>
    <row r="2207" spans="1:1" x14ac:dyDescent="0.35">
      <c r="A2207" s="2"/>
    </row>
    <row r="2208" spans="1:1" x14ac:dyDescent="0.35">
      <c r="A2208" s="2"/>
    </row>
    <row r="2209" spans="1:1" x14ac:dyDescent="0.35">
      <c r="A2209" s="2"/>
    </row>
    <row r="2210" spans="1:1" x14ac:dyDescent="0.35">
      <c r="A2210" s="2"/>
    </row>
    <row r="2211" spans="1:1" x14ac:dyDescent="0.35">
      <c r="A2211" s="2"/>
    </row>
    <row r="2212" spans="1:1" x14ac:dyDescent="0.35">
      <c r="A2212" s="2"/>
    </row>
    <row r="2213" spans="1:1" x14ac:dyDescent="0.35">
      <c r="A2213" s="2"/>
    </row>
    <row r="2214" spans="1:1" x14ac:dyDescent="0.35">
      <c r="A2214" s="2"/>
    </row>
    <row r="2215" spans="1:1" x14ac:dyDescent="0.35">
      <c r="A2215" s="2"/>
    </row>
    <row r="2216" spans="1:1" x14ac:dyDescent="0.35">
      <c r="A2216" s="2"/>
    </row>
    <row r="2217" spans="1:1" x14ac:dyDescent="0.35">
      <c r="A2217" s="2"/>
    </row>
    <row r="2218" spans="1:1" x14ac:dyDescent="0.35">
      <c r="A2218" s="2"/>
    </row>
    <row r="2219" spans="1:1" x14ac:dyDescent="0.35">
      <c r="A2219" s="2"/>
    </row>
    <row r="2220" spans="1:1" x14ac:dyDescent="0.35">
      <c r="A2220" s="2"/>
    </row>
    <row r="2221" spans="1:1" x14ac:dyDescent="0.35">
      <c r="A2221" s="2"/>
    </row>
    <row r="2222" spans="1:1" x14ac:dyDescent="0.35">
      <c r="A2222" s="2"/>
    </row>
    <row r="2223" spans="1:1" x14ac:dyDescent="0.35">
      <c r="A2223" s="2"/>
    </row>
    <row r="2224" spans="1:1" x14ac:dyDescent="0.35">
      <c r="A2224" s="2"/>
    </row>
    <row r="2225" spans="1:1" x14ac:dyDescent="0.35">
      <c r="A2225" s="2"/>
    </row>
    <row r="2226" spans="1:1" x14ac:dyDescent="0.35">
      <c r="A2226" s="2"/>
    </row>
    <row r="2227" spans="1:1" x14ac:dyDescent="0.35">
      <c r="A2227" s="2"/>
    </row>
    <row r="2228" spans="1:1" x14ac:dyDescent="0.35">
      <c r="A2228" s="2"/>
    </row>
    <row r="2229" spans="1:1" x14ac:dyDescent="0.35">
      <c r="A2229" s="2"/>
    </row>
    <row r="2230" spans="1:1" x14ac:dyDescent="0.35">
      <c r="A2230" s="2"/>
    </row>
    <row r="2231" spans="1:1" x14ac:dyDescent="0.35">
      <c r="A2231" s="2"/>
    </row>
    <row r="2232" spans="1:1" x14ac:dyDescent="0.35">
      <c r="A2232" s="2"/>
    </row>
    <row r="2233" spans="1:1" x14ac:dyDescent="0.35">
      <c r="A2233" s="2"/>
    </row>
    <row r="2234" spans="1:1" x14ac:dyDescent="0.35">
      <c r="A2234" s="2"/>
    </row>
    <row r="2235" spans="1:1" x14ac:dyDescent="0.35">
      <c r="A2235" s="2"/>
    </row>
    <row r="2236" spans="1:1" x14ac:dyDescent="0.35">
      <c r="A2236" s="2"/>
    </row>
    <row r="2237" spans="1:1" x14ac:dyDescent="0.35">
      <c r="A2237" s="2"/>
    </row>
    <row r="2238" spans="1:1" x14ac:dyDescent="0.35">
      <c r="A2238" s="2"/>
    </row>
    <row r="2239" spans="1:1" x14ac:dyDescent="0.35">
      <c r="A2239" s="2"/>
    </row>
    <row r="2240" spans="1:1" x14ac:dyDescent="0.35">
      <c r="A2240" s="2"/>
    </row>
    <row r="2241" spans="1:1" x14ac:dyDescent="0.35">
      <c r="A2241" s="2"/>
    </row>
    <row r="2242" spans="1:1" x14ac:dyDescent="0.35">
      <c r="A2242" s="2"/>
    </row>
    <row r="2243" spans="1:1" x14ac:dyDescent="0.35">
      <c r="A2243" s="2"/>
    </row>
    <row r="2244" spans="1:1" x14ac:dyDescent="0.35">
      <c r="A2244" s="2"/>
    </row>
    <row r="2245" spans="1:1" x14ac:dyDescent="0.35">
      <c r="A2245" s="2"/>
    </row>
    <row r="2246" spans="1:1" x14ac:dyDescent="0.35">
      <c r="A2246" s="2"/>
    </row>
    <row r="2247" spans="1:1" x14ac:dyDescent="0.35">
      <c r="A2247" s="2"/>
    </row>
    <row r="2248" spans="1:1" x14ac:dyDescent="0.35">
      <c r="A2248" s="2"/>
    </row>
    <row r="2249" spans="1:1" x14ac:dyDescent="0.35">
      <c r="A2249" s="2"/>
    </row>
    <row r="2250" spans="1:1" x14ac:dyDescent="0.35">
      <c r="A2250" s="2"/>
    </row>
    <row r="2251" spans="1:1" x14ac:dyDescent="0.35">
      <c r="A2251" s="2"/>
    </row>
    <row r="2252" spans="1:1" x14ac:dyDescent="0.35">
      <c r="A2252" s="2"/>
    </row>
    <row r="2253" spans="1:1" x14ac:dyDescent="0.35">
      <c r="A2253" s="2"/>
    </row>
    <row r="2254" spans="1:1" x14ac:dyDescent="0.35">
      <c r="A2254" s="2"/>
    </row>
    <row r="2255" spans="1:1" x14ac:dyDescent="0.35">
      <c r="A2255" s="2"/>
    </row>
    <row r="2256" spans="1:1" x14ac:dyDescent="0.35">
      <c r="A2256" s="2"/>
    </row>
    <row r="2257" spans="1:1" x14ac:dyDescent="0.35">
      <c r="A2257" s="2"/>
    </row>
    <row r="2258" spans="1:1" x14ac:dyDescent="0.35">
      <c r="A2258" s="2"/>
    </row>
    <row r="2259" spans="1:1" x14ac:dyDescent="0.35">
      <c r="A2259" s="2"/>
    </row>
    <row r="2260" spans="1:1" x14ac:dyDescent="0.35">
      <c r="A2260" s="2"/>
    </row>
    <row r="2261" spans="1:1" x14ac:dyDescent="0.35">
      <c r="A2261" s="2"/>
    </row>
    <row r="2262" spans="1:1" x14ac:dyDescent="0.35">
      <c r="A2262" s="2"/>
    </row>
    <row r="2263" spans="1:1" x14ac:dyDescent="0.35">
      <c r="A2263" s="2"/>
    </row>
    <row r="2264" spans="1:1" x14ac:dyDescent="0.35">
      <c r="A2264" s="2"/>
    </row>
    <row r="2265" spans="1:1" x14ac:dyDescent="0.35">
      <c r="A2265" s="2"/>
    </row>
    <row r="2266" spans="1:1" x14ac:dyDescent="0.35">
      <c r="A2266" s="2"/>
    </row>
    <row r="2267" spans="1:1" x14ac:dyDescent="0.35">
      <c r="A2267" s="2"/>
    </row>
    <row r="2268" spans="1:1" x14ac:dyDescent="0.35">
      <c r="A2268" s="2"/>
    </row>
    <row r="2269" spans="1:1" x14ac:dyDescent="0.35">
      <c r="A2269" s="2"/>
    </row>
    <row r="2270" spans="1:1" x14ac:dyDescent="0.35">
      <c r="A2270" s="2"/>
    </row>
    <row r="2271" spans="1:1" x14ac:dyDescent="0.35">
      <c r="A2271" s="2"/>
    </row>
    <row r="2272" spans="1:1" x14ac:dyDescent="0.35">
      <c r="A2272" s="2"/>
    </row>
    <row r="2273" spans="1:1" x14ac:dyDescent="0.35">
      <c r="A2273" s="2"/>
    </row>
    <row r="2274" spans="1:1" x14ac:dyDescent="0.35">
      <c r="A2274" s="2"/>
    </row>
    <row r="2275" spans="1:1" x14ac:dyDescent="0.35">
      <c r="A2275" s="2"/>
    </row>
    <row r="2276" spans="1:1" x14ac:dyDescent="0.35">
      <c r="A2276" s="2"/>
    </row>
    <row r="2277" spans="1:1" x14ac:dyDescent="0.35">
      <c r="A2277" s="2"/>
    </row>
    <row r="2278" spans="1:1" x14ac:dyDescent="0.35">
      <c r="A2278" s="2"/>
    </row>
    <row r="2279" spans="1:1" x14ac:dyDescent="0.35">
      <c r="A2279" s="2"/>
    </row>
    <row r="2280" spans="1:1" x14ac:dyDescent="0.35">
      <c r="A2280" s="2"/>
    </row>
    <row r="2281" spans="1:1" x14ac:dyDescent="0.35">
      <c r="A2281" s="2"/>
    </row>
    <row r="2282" spans="1:1" x14ac:dyDescent="0.35">
      <c r="A2282" s="2"/>
    </row>
    <row r="2283" spans="1:1" x14ac:dyDescent="0.35">
      <c r="A2283" s="2"/>
    </row>
    <row r="2284" spans="1:1" x14ac:dyDescent="0.35">
      <c r="A2284" s="2"/>
    </row>
    <row r="2285" spans="1:1" x14ac:dyDescent="0.35">
      <c r="A2285" s="2"/>
    </row>
    <row r="2286" spans="1:1" x14ac:dyDescent="0.35">
      <c r="A2286" s="2"/>
    </row>
    <row r="2287" spans="1:1" x14ac:dyDescent="0.35">
      <c r="A2287" s="2"/>
    </row>
    <row r="2288" spans="1:1" x14ac:dyDescent="0.35">
      <c r="A2288" s="2"/>
    </row>
    <row r="2289" spans="1:1" x14ac:dyDescent="0.35">
      <c r="A2289" s="2"/>
    </row>
    <row r="2290" spans="1:1" x14ac:dyDescent="0.35">
      <c r="A2290" s="2"/>
    </row>
    <row r="2291" spans="1:1" x14ac:dyDescent="0.35">
      <c r="A2291" s="2"/>
    </row>
    <row r="2292" spans="1:1" x14ac:dyDescent="0.35">
      <c r="A2292" s="2"/>
    </row>
    <row r="2293" spans="1:1" x14ac:dyDescent="0.35">
      <c r="A2293" s="2"/>
    </row>
    <row r="2294" spans="1:1" x14ac:dyDescent="0.35">
      <c r="A2294" s="2"/>
    </row>
    <row r="2295" spans="1:1" x14ac:dyDescent="0.35">
      <c r="A2295" s="2"/>
    </row>
    <row r="2296" spans="1:1" x14ac:dyDescent="0.35">
      <c r="A2296" s="2"/>
    </row>
    <row r="2297" spans="1:1" x14ac:dyDescent="0.35">
      <c r="A2297" s="2"/>
    </row>
    <row r="2298" spans="1:1" x14ac:dyDescent="0.35">
      <c r="A2298" s="2"/>
    </row>
    <row r="2299" spans="1:1" x14ac:dyDescent="0.35">
      <c r="A2299" s="2"/>
    </row>
    <row r="2300" spans="1:1" x14ac:dyDescent="0.35">
      <c r="A2300" s="2"/>
    </row>
    <row r="2301" spans="1:1" x14ac:dyDescent="0.35">
      <c r="A2301" s="2"/>
    </row>
    <row r="2302" spans="1:1" x14ac:dyDescent="0.35">
      <c r="A2302" s="2"/>
    </row>
    <row r="2303" spans="1:1" x14ac:dyDescent="0.35">
      <c r="A2303" s="2"/>
    </row>
    <row r="2304" spans="1:1" x14ac:dyDescent="0.35">
      <c r="A2304" s="2"/>
    </row>
    <row r="2305" spans="1:1" x14ac:dyDescent="0.35">
      <c r="A2305" s="2"/>
    </row>
    <row r="2306" spans="1:1" x14ac:dyDescent="0.35">
      <c r="A2306" s="2"/>
    </row>
    <row r="2307" spans="1:1" x14ac:dyDescent="0.35">
      <c r="A2307" s="2"/>
    </row>
    <row r="2308" spans="1:1" x14ac:dyDescent="0.35">
      <c r="A2308" s="2"/>
    </row>
    <row r="2309" spans="1:1" x14ac:dyDescent="0.35">
      <c r="A2309" s="2"/>
    </row>
    <row r="2310" spans="1:1" x14ac:dyDescent="0.35">
      <c r="A2310" s="2"/>
    </row>
    <row r="2311" spans="1:1" x14ac:dyDescent="0.35">
      <c r="A2311" s="2"/>
    </row>
    <row r="2312" spans="1:1" x14ac:dyDescent="0.35">
      <c r="A2312" s="2"/>
    </row>
    <row r="2313" spans="1:1" x14ac:dyDescent="0.35">
      <c r="A2313" s="2"/>
    </row>
    <row r="2314" spans="1:1" x14ac:dyDescent="0.35">
      <c r="A2314" s="2"/>
    </row>
    <row r="2315" spans="1:1" x14ac:dyDescent="0.35">
      <c r="A2315" s="2"/>
    </row>
    <row r="2316" spans="1:1" x14ac:dyDescent="0.35">
      <c r="A2316" s="2"/>
    </row>
    <row r="2317" spans="1:1" x14ac:dyDescent="0.35">
      <c r="A2317" s="2"/>
    </row>
    <row r="2318" spans="1:1" x14ac:dyDescent="0.35">
      <c r="A2318" s="2"/>
    </row>
    <row r="2319" spans="1:1" x14ac:dyDescent="0.35">
      <c r="A2319" s="2"/>
    </row>
    <row r="2320" spans="1:1" x14ac:dyDescent="0.35">
      <c r="A2320" s="2"/>
    </row>
    <row r="2321" spans="1:1" x14ac:dyDescent="0.35">
      <c r="A2321" s="2"/>
    </row>
    <row r="2322" spans="1:1" x14ac:dyDescent="0.35">
      <c r="A2322" s="2"/>
    </row>
    <row r="2323" spans="1:1" x14ac:dyDescent="0.35">
      <c r="A2323" s="2"/>
    </row>
    <row r="2324" spans="1:1" x14ac:dyDescent="0.35">
      <c r="A2324" s="2"/>
    </row>
    <row r="2325" spans="1:1" x14ac:dyDescent="0.35">
      <c r="A2325" s="2"/>
    </row>
    <row r="2326" spans="1:1" x14ac:dyDescent="0.35">
      <c r="A2326" s="2"/>
    </row>
    <row r="2327" spans="1:1" x14ac:dyDescent="0.35">
      <c r="A2327" s="2"/>
    </row>
    <row r="2328" spans="1:1" x14ac:dyDescent="0.35">
      <c r="A2328" s="2"/>
    </row>
    <row r="2329" spans="1:1" x14ac:dyDescent="0.35">
      <c r="A2329" s="2"/>
    </row>
    <row r="2330" spans="1:1" x14ac:dyDescent="0.35">
      <c r="A2330" s="2"/>
    </row>
    <row r="2331" spans="1:1" x14ac:dyDescent="0.35">
      <c r="A2331" s="2"/>
    </row>
    <row r="2332" spans="1:1" x14ac:dyDescent="0.35">
      <c r="A2332" s="2"/>
    </row>
    <row r="2333" spans="1:1" x14ac:dyDescent="0.35">
      <c r="A2333" s="2"/>
    </row>
    <row r="2334" spans="1:1" x14ac:dyDescent="0.35">
      <c r="A2334" s="2"/>
    </row>
    <row r="2335" spans="1:1" x14ac:dyDescent="0.35">
      <c r="A2335" s="2"/>
    </row>
    <row r="2336" spans="1:1" x14ac:dyDescent="0.35">
      <c r="A2336" s="2"/>
    </row>
    <row r="2337" spans="1:1" x14ac:dyDescent="0.35">
      <c r="A2337" s="2"/>
    </row>
    <row r="2338" spans="1:1" x14ac:dyDescent="0.35">
      <c r="A2338" s="2"/>
    </row>
    <row r="2339" spans="1:1" x14ac:dyDescent="0.35">
      <c r="A2339" s="2"/>
    </row>
    <row r="2340" spans="1:1" x14ac:dyDescent="0.35">
      <c r="A2340" s="2"/>
    </row>
    <row r="2341" spans="1:1" x14ac:dyDescent="0.35">
      <c r="A2341" s="2"/>
    </row>
    <row r="2342" spans="1:1" x14ac:dyDescent="0.35">
      <c r="A2342" s="2"/>
    </row>
    <row r="2343" spans="1:1" x14ac:dyDescent="0.35">
      <c r="A2343" s="2"/>
    </row>
    <row r="2344" spans="1:1" x14ac:dyDescent="0.35">
      <c r="A2344" s="2"/>
    </row>
    <row r="2345" spans="1:1" x14ac:dyDescent="0.35">
      <c r="A2345" s="2"/>
    </row>
    <row r="2346" spans="1:1" x14ac:dyDescent="0.35">
      <c r="A2346" s="2"/>
    </row>
    <row r="2347" spans="1:1" x14ac:dyDescent="0.35">
      <c r="A2347" s="2"/>
    </row>
    <row r="2348" spans="1:1" x14ac:dyDescent="0.35">
      <c r="A2348" s="2"/>
    </row>
    <row r="2349" spans="1:1" x14ac:dyDescent="0.35">
      <c r="A2349" s="2"/>
    </row>
    <row r="2350" spans="1:1" x14ac:dyDescent="0.35">
      <c r="A2350" s="2"/>
    </row>
    <row r="2351" spans="1:1" x14ac:dyDescent="0.35">
      <c r="A2351" s="2"/>
    </row>
    <row r="2352" spans="1:1" x14ac:dyDescent="0.35">
      <c r="A2352" s="2"/>
    </row>
    <row r="2353" spans="1:1" x14ac:dyDescent="0.35">
      <c r="A2353" s="2"/>
    </row>
    <row r="2354" spans="1:1" x14ac:dyDescent="0.35">
      <c r="A2354" s="2"/>
    </row>
    <row r="2355" spans="1:1" x14ac:dyDescent="0.35">
      <c r="A2355" s="2"/>
    </row>
    <row r="2356" spans="1:1" x14ac:dyDescent="0.35">
      <c r="A2356" s="2"/>
    </row>
    <row r="2357" spans="1:1" x14ac:dyDescent="0.35">
      <c r="A2357" s="2"/>
    </row>
    <row r="2358" spans="1:1" x14ac:dyDescent="0.35">
      <c r="A2358" s="2"/>
    </row>
    <row r="2359" spans="1:1" x14ac:dyDescent="0.35">
      <c r="A2359" s="2"/>
    </row>
    <row r="2360" spans="1:1" x14ac:dyDescent="0.35">
      <c r="A2360" s="2"/>
    </row>
    <row r="2361" spans="1:1" x14ac:dyDescent="0.35">
      <c r="A2361" s="2"/>
    </row>
    <row r="2362" spans="1:1" x14ac:dyDescent="0.35">
      <c r="A2362" s="2"/>
    </row>
    <row r="2363" spans="1:1" x14ac:dyDescent="0.35">
      <c r="A2363" s="2"/>
    </row>
    <row r="2364" spans="1:1" x14ac:dyDescent="0.35">
      <c r="A2364" s="2"/>
    </row>
    <row r="2365" spans="1:1" x14ac:dyDescent="0.35">
      <c r="A2365" s="2"/>
    </row>
    <row r="2366" spans="1:1" x14ac:dyDescent="0.35">
      <c r="A2366" s="2"/>
    </row>
    <row r="2367" spans="1:1" x14ac:dyDescent="0.35">
      <c r="A2367" s="2"/>
    </row>
    <row r="2368" spans="1:1" x14ac:dyDescent="0.35">
      <c r="A2368" s="2"/>
    </row>
    <row r="2369" spans="1:1" x14ac:dyDescent="0.35">
      <c r="A2369" s="2"/>
    </row>
    <row r="2370" spans="1:1" x14ac:dyDescent="0.35">
      <c r="A2370" s="2"/>
    </row>
    <row r="2371" spans="1:1" x14ac:dyDescent="0.35">
      <c r="A2371" s="2"/>
    </row>
    <row r="2372" spans="1:1" x14ac:dyDescent="0.35">
      <c r="A2372" s="2"/>
    </row>
    <row r="2373" spans="1:1" x14ac:dyDescent="0.35">
      <c r="A2373" s="2"/>
    </row>
    <row r="2374" spans="1:1" x14ac:dyDescent="0.35">
      <c r="A2374" s="2"/>
    </row>
    <row r="2375" spans="1:1" x14ac:dyDescent="0.35">
      <c r="A2375" s="2"/>
    </row>
    <row r="2376" spans="1:1" x14ac:dyDescent="0.35">
      <c r="A2376" s="2"/>
    </row>
    <row r="2377" spans="1:1" x14ac:dyDescent="0.35">
      <c r="A2377" s="2"/>
    </row>
    <row r="2378" spans="1:1" x14ac:dyDescent="0.35">
      <c r="A2378" s="2"/>
    </row>
    <row r="2379" spans="1:1" x14ac:dyDescent="0.35">
      <c r="A2379" s="2"/>
    </row>
    <row r="2380" spans="1:1" x14ac:dyDescent="0.35">
      <c r="A2380" s="2"/>
    </row>
    <row r="2381" spans="1:1" x14ac:dyDescent="0.35">
      <c r="A2381" s="2"/>
    </row>
    <row r="2382" spans="1:1" x14ac:dyDescent="0.35">
      <c r="A2382" s="2"/>
    </row>
    <row r="2383" spans="1:1" x14ac:dyDescent="0.35">
      <c r="A2383" s="2"/>
    </row>
    <row r="2384" spans="1:1" x14ac:dyDescent="0.35">
      <c r="A2384" s="2"/>
    </row>
    <row r="2385" spans="1:1" x14ac:dyDescent="0.35">
      <c r="A2385" s="2"/>
    </row>
    <row r="2386" spans="1:1" x14ac:dyDescent="0.35">
      <c r="A2386" s="2"/>
    </row>
    <row r="2387" spans="1:1" x14ac:dyDescent="0.35">
      <c r="A2387" s="2"/>
    </row>
    <row r="2388" spans="1:1" x14ac:dyDescent="0.35">
      <c r="A2388" s="2"/>
    </row>
    <row r="2389" spans="1:1" x14ac:dyDescent="0.35">
      <c r="A2389" s="2"/>
    </row>
    <row r="2390" spans="1:1" x14ac:dyDescent="0.35">
      <c r="A2390" s="2"/>
    </row>
    <row r="2391" spans="1:1" x14ac:dyDescent="0.35">
      <c r="A2391" s="2"/>
    </row>
    <row r="2392" spans="1:1" x14ac:dyDescent="0.35">
      <c r="A2392" s="2"/>
    </row>
    <row r="2393" spans="1:1" x14ac:dyDescent="0.35">
      <c r="A2393" s="2"/>
    </row>
    <row r="2394" spans="1:1" x14ac:dyDescent="0.35">
      <c r="A2394" s="2"/>
    </row>
    <row r="2395" spans="1:1" x14ac:dyDescent="0.35">
      <c r="A2395" s="2"/>
    </row>
    <row r="2396" spans="1:1" x14ac:dyDescent="0.35">
      <c r="A2396" s="2"/>
    </row>
    <row r="2397" spans="1:1" x14ac:dyDescent="0.35">
      <c r="A2397" s="2"/>
    </row>
    <row r="2398" spans="1:1" x14ac:dyDescent="0.35">
      <c r="A2398" s="2"/>
    </row>
    <row r="2399" spans="1:1" x14ac:dyDescent="0.35">
      <c r="A2399" s="2"/>
    </row>
    <row r="2400" spans="1:1" x14ac:dyDescent="0.35">
      <c r="A2400" s="2"/>
    </row>
    <row r="2401" spans="1:1" x14ac:dyDescent="0.35">
      <c r="A2401" s="2"/>
    </row>
    <row r="2402" spans="1:1" x14ac:dyDescent="0.35">
      <c r="A2402" s="2"/>
    </row>
    <row r="2403" spans="1:1" x14ac:dyDescent="0.35">
      <c r="A2403" s="2"/>
    </row>
    <row r="2404" spans="1:1" x14ac:dyDescent="0.35">
      <c r="A2404" s="2"/>
    </row>
    <row r="2405" spans="1:1" x14ac:dyDescent="0.35">
      <c r="A2405" s="2"/>
    </row>
    <row r="2406" spans="1:1" x14ac:dyDescent="0.35">
      <c r="A2406" s="2"/>
    </row>
    <row r="2407" spans="1:1" x14ac:dyDescent="0.35">
      <c r="A2407" s="2"/>
    </row>
    <row r="2408" spans="1:1" x14ac:dyDescent="0.35">
      <c r="A2408" s="2"/>
    </row>
    <row r="2409" spans="1:1" x14ac:dyDescent="0.35">
      <c r="A2409" s="2"/>
    </row>
    <row r="2410" spans="1:1" x14ac:dyDescent="0.35">
      <c r="A2410" s="2"/>
    </row>
    <row r="2411" spans="1:1" x14ac:dyDescent="0.35">
      <c r="A2411" s="2"/>
    </row>
    <row r="2412" spans="1:1" x14ac:dyDescent="0.35">
      <c r="A2412" s="2"/>
    </row>
    <row r="2413" spans="1:1" x14ac:dyDescent="0.35">
      <c r="A2413" s="2"/>
    </row>
    <row r="2414" spans="1:1" x14ac:dyDescent="0.35">
      <c r="A2414" s="2"/>
    </row>
    <row r="2415" spans="1:1" x14ac:dyDescent="0.35">
      <c r="A2415" s="2"/>
    </row>
    <row r="2416" spans="1:1" x14ac:dyDescent="0.35">
      <c r="A2416" s="2"/>
    </row>
    <row r="2417" spans="1:1" x14ac:dyDescent="0.35">
      <c r="A2417" s="2"/>
    </row>
    <row r="2418" spans="1:1" x14ac:dyDescent="0.35">
      <c r="A2418" s="2"/>
    </row>
    <row r="2419" spans="1:1" x14ac:dyDescent="0.35">
      <c r="A2419" s="2"/>
    </row>
    <row r="2420" spans="1:1" x14ac:dyDescent="0.35">
      <c r="A2420" s="2"/>
    </row>
    <row r="2421" spans="1:1" x14ac:dyDescent="0.35">
      <c r="A2421" s="2"/>
    </row>
    <row r="2422" spans="1:1" x14ac:dyDescent="0.35">
      <c r="A2422" s="2"/>
    </row>
    <row r="2423" spans="1:1" x14ac:dyDescent="0.35">
      <c r="A2423" s="2"/>
    </row>
    <row r="2424" spans="1:1" x14ac:dyDescent="0.35">
      <c r="A2424" s="2"/>
    </row>
    <row r="2425" spans="1:1" x14ac:dyDescent="0.35">
      <c r="A2425" s="2"/>
    </row>
    <row r="2426" spans="1:1" x14ac:dyDescent="0.35">
      <c r="A2426" s="2"/>
    </row>
    <row r="2427" spans="1:1" x14ac:dyDescent="0.35">
      <c r="A2427" s="2"/>
    </row>
    <row r="2428" spans="1:1" x14ac:dyDescent="0.35">
      <c r="A2428" s="2"/>
    </row>
    <row r="2429" spans="1:1" x14ac:dyDescent="0.35">
      <c r="A2429" s="2"/>
    </row>
    <row r="2430" spans="1:1" x14ac:dyDescent="0.35">
      <c r="A2430" s="2"/>
    </row>
    <row r="2431" spans="1:1" x14ac:dyDescent="0.35">
      <c r="A2431" s="2"/>
    </row>
    <row r="2432" spans="1:1" x14ac:dyDescent="0.35">
      <c r="A2432" s="2"/>
    </row>
    <row r="2433" spans="1:1" x14ac:dyDescent="0.35">
      <c r="A2433" s="2"/>
    </row>
    <row r="2434" spans="1:1" x14ac:dyDescent="0.35">
      <c r="A2434" s="2"/>
    </row>
    <row r="2435" spans="1:1" x14ac:dyDescent="0.35">
      <c r="A2435" s="2"/>
    </row>
    <row r="2436" spans="1:1" x14ac:dyDescent="0.35">
      <c r="A2436" s="2"/>
    </row>
    <row r="2437" spans="1:1" x14ac:dyDescent="0.35">
      <c r="A2437" s="2"/>
    </row>
    <row r="2438" spans="1:1" x14ac:dyDescent="0.35">
      <c r="A2438" s="2"/>
    </row>
    <row r="2439" spans="1:1" x14ac:dyDescent="0.35">
      <c r="A2439" s="2"/>
    </row>
    <row r="2440" spans="1:1" x14ac:dyDescent="0.35">
      <c r="A2440" s="2"/>
    </row>
    <row r="2441" spans="1:1" x14ac:dyDescent="0.35">
      <c r="A2441" s="2"/>
    </row>
    <row r="2442" spans="1:1" x14ac:dyDescent="0.35">
      <c r="A2442" s="2"/>
    </row>
    <row r="2443" spans="1:1" x14ac:dyDescent="0.35">
      <c r="A2443" s="2"/>
    </row>
    <row r="2444" spans="1:1" x14ac:dyDescent="0.35">
      <c r="A2444" s="2"/>
    </row>
    <row r="2445" spans="1:1" x14ac:dyDescent="0.35">
      <c r="A2445" s="2"/>
    </row>
    <row r="2446" spans="1:1" x14ac:dyDescent="0.35">
      <c r="A2446" s="2"/>
    </row>
    <row r="2447" spans="1:1" x14ac:dyDescent="0.35">
      <c r="A2447" s="2"/>
    </row>
    <row r="2448" spans="1:1" x14ac:dyDescent="0.35">
      <c r="A2448" s="2"/>
    </row>
    <row r="2449" spans="1:1" x14ac:dyDescent="0.35">
      <c r="A2449" s="2"/>
    </row>
    <row r="2450" spans="1:1" x14ac:dyDescent="0.35">
      <c r="A2450" s="2"/>
    </row>
    <row r="2451" spans="1:1" x14ac:dyDescent="0.35">
      <c r="A2451" s="2"/>
    </row>
    <row r="2452" spans="1:1" x14ac:dyDescent="0.35">
      <c r="A2452" s="2"/>
    </row>
    <row r="2453" spans="1:1" x14ac:dyDescent="0.35">
      <c r="A2453" s="2"/>
    </row>
    <row r="2454" spans="1:1" x14ac:dyDescent="0.35">
      <c r="A2454" s="2"/>
    </row>
    <row r="2455" spans="1:1" x14ac:dyDescent="0.35">
      <c r="A2455" s="2"/>
    </row>
    <row r="2456" spans="1:1" x14ac:dyDescent="0.35">
      <c r="A2456" s="2"/>
    </row>
    <row r="2457" spans="1:1" x14ac:dyDescent="0.35">
      <c r="A2457" s="2"/>
    </row>
    <row r="2458" spans="1:1" x14ac:dyDescent="0.35">
      <c r="A2458" s="2"/>
    </row>
    <row r="2459" spans="1:1" x14ac:dyDescent="0.35">
      <c r="A2459" s="2"/>
    </row>
    <row r="2460" spans="1:1" x14ac:dyDescent="0.35">
      <c r="A2460" s="2"/>
    </row>
    <row r="2461" spans="1:1" x14ac:dyDescent="0.35">
      <c r="A2461" s="2"/>
    </row>
    <row r="2462" spans="1:1" x14ac:dyDescent="0.35">
      <c r="A2462" s="2"/>
    </row>
    <row r="2463" spans="1:1" x14ac:dyDescent="0.35">
      <c r="A2463" s="2"/>
    </row>
    <row r="2464" spans="1:1" x14ac:dyDescent="0.35">
      <c r="A2464" s="2"/>
    </row>
    <row r="2465" spans="1:1" x14ac:dyDescent="0.35">
      <c r="A2465" s="2"/>
    </row>
    <row r="2466" spans="1:1" x14ac:dyDescent="0.35">
      <c r="A2466" s="2"/>
    </row>
    <row r="2467" spans="1:1" x14ac:dyDescent="0.35">
      <c r="A2467" s="2"/>
    </row>
    <row r="2468" spans="1:1" x14ac:dyDescent="0.35">
      <c r="A2468" s="2"/>
    </row>
    <row r="2469" spans="1:1" x14ac:dyDescent="0.35">
      <c r="A2469" s="2"/>
    </row>
    <row r="2470" spans="1:1" x14ac:dyDescent="0.35">
      <c r="A2470" s="2"/>
    </row>
    <row r="2471" spans="1:1" x14ac:dyDescent="0.35">
      <c r="A2471" s="2"/>
    </row>
    <row r="2472" spans="1:1" x14ac:dyDescent="0.35">
      <c r="A2472" s="2"/>
    </row>
    <row r="2473" spans="1:1" x14ac:dyDescent="0.35">
      <c r="A2473" s="2"/>
    </row>
    <row r="2474" spans="1:1" x14ac:dyDescent="0.35">
      <c r="A2474" s="2"/>
    </row>
    <row r="2475" spans="1:1" x14ac:dyDescent="0.35">
      <c r="A2475" s="2"/>
    </row>
    <row r="2476" spans="1:1" x14ac:dyDescent="0.35">
      <c r="A2476" s="2"/>
    </row>
    <row r="2477" spans="1:1" x14ac:dyDescent="0.35">
      <c r="A2477" s="2"/>
    </row>
    <row r="2478" spans="1:1" x14ac:dyDescent="0.35">
      <c r="A2478" s="2"/>
    </row>
    <row r="2479" spans="1:1" x14ac:dyDescent="0.35">
      <c r="A2479" s="2"/>
    </row>
    <row r="2480" spans="1:1" x14ac:dyDescent="0.35">
      <c r="A2480" s="2"/>
    </row>
    <row r="2481" spans="1:1" x14ac:dyDescent="0.35">
      <c r="A2481" s="2"/>
    </row>
    <row r="2482" spans="1:1" x14ac:dyDescent="0.35">
      <c r="A2482" s="2"/>
    </row>
    <row r="2483" spans="1:1" x14ac:dyDescent="0.35">
      <c r="A2483" s="2"/>
    </row>
    <row r="2484" spans="1:1" x14ac:dyDescent="0.35">
      <c r="A2484" s="2"/>
    </row>
    <row r="2485" spans="1:1" x14ac:dyDescent="0.35">
      <c r="A2485" s="2"/>
    </row>
    <row r="2486" spans="1:1" x14ac:dyDescent="0.35">
      <c r="A2486" s="2"/>
    </row>
    <row r="2487" spans="1:1" x14ac:dyDescent="0.35">
      <c r="A2487" s="2"/>
    </row>
    <row r="2488" spans="1:1" x14ac:dyDescent="0.35">
      <c r="A2488" s="2"/>
    </row>
    <row r="2489" spans="1:1" x14ac:dyDescent="0.35">
      <c r="A2489" s="2"/>
    </row>
    <row r="2490" spans="1:1" x14ac:dyDescent="0.35">
      <c r="A2490" s="2"/>
    </row>
    <row r="2491" spans="1:1" x14ac:dyDescent="0.35">
      <c r="A2491" s="2"/>
    </row>
    <row r="2492" spans="1:1" x14ac:dyDescent="0.35">
      <c r="A2492" s="2"/>
    </row>
    <row r="2493" spans="1:1" x14ac:dyDescent="0.35">
      <c r="A2493" s="2"/>
    </row>
    <row r="2494" spans="1:1" x14ac:dyDescent="0.35">
      <c r="A2494" s="2"/>
    </row>
    <row r="2495" spans="1:1" x14ac:dyDescent="0.35">
      <c r="A2495" s="2"/>
    </row>
    <row r="2496" spans="1:1" x14ac:dyDescent="0.35">
      <c r="A2496" s="2"/>
    </row>
    <row r="2497" spans="1:1" x14ac:dyDescent="0.35">
      <c r="A2497" s="2"/>
    </row>
    <row r="2498" spans="1:1" x14ac:dyDescent="0.35">
      <c r="A2498" s="2"/>
    </row>
    <row r="2499" spans="1:1" x14ac:dyDescent="0.35">
      <c r="A2499" s="2"/>
    </row>
    <row r="2500" spans="1:1" x14ac:dyDescent="0.35">
      <c r="A2500" s="2"/>
    </row>
    <row r="2501" spans="1:1" x14ac:dyDescent="0.35">
      <c r="A2501" s="2"/>
    </row>
    <row r="2502" spans="1:1" x14ac:dyDescent="0.35">
      <c r="A2502" s="2"/>
    </row>
    <row r="2503" spans="1:1" x14ac:dyDescent="0.35">
      <c r="A2503" s="2"/>
    </row>
    <row r="2504" spans="1:1" x14ac:dyDescent="0.35">
      <c r="A2504" s="2"/>
    </row>
    <row r="2505" spans="1:1" x14ac:dyDescent="0.35">
      <c r="A2505" s="2"/>
    </row>
    <row r="2506" spans="1:1" x14ac:dyDescent="0.35">
      <c r="A2506" s="2"/>
    </row>
    <row r="2507" spans="1:1" x14ac:dyDescent="0.35">
      <c r="A2507" s="2"/>
    </row>
    <row r="2508" spans="1:1" x14ac:dyDescent="0.35">
      <c r="A2508" s="2"/>
    </row>
    <row r="2509" spans="1:1" x14ac:dyDescent="0.35">
      <c r="A2509" s="2"/>
    </row>
    <row r="2510" spans="1:1" x14ac:dyDescent="0.35">
      <c r="A2510" s="2"/>
    </row>
    <row r="2511" spans="1:1" x14ac:dyDescent="0.35">
      <c r="A2511" s="2"/>
    </row>
    <row r="2512" spans="1:1" x14ac:dyDescent="0.35">
      <c r="A2512" s="2"/>
    </row>
    <row r="2513" spans="1:1" x14ac:dyDescent="0.35">
      <c r="A2513" s="2"/>
    </row>
    <row r="2514" spans="1:1" x14ac:dyDescent="0.35">
      <c r="A2514" s="2"/>
    </row>
    <row r="2515" spans="1:1" x14ac:dyDescent="0.35">
      <c r="A2515" s="2"/>
    </row>
    <row r="2516" spans="1:1" x14ac:dyDescent="0.35">
      <c r="A2516" s="2"/>
    </row>
    <row r="2517" spans="1:1" x14ac:dyDescent="0.35">
      <c r="A2517" s="2"/>
    </row>
    <row r="2518" spans="1:1" x14ac:dyDescent="0.35">
      <c r="A2518" s="2"/>
    </row>
    <row r="2519" spans="1:1" x14ac:dyDescent="0.35">
      <c r="A2519" s="2"/>
    </row>
    <row r="2520" spans="1:1" x14ac:dyDescent="0.35">
      <c r="A2520" s="2"/>
    </row>
    <row r="2521" spans="1:1" x14ac:dyDescent="0.35">
      <c r="A2521" s="2"/>
    </row>
    <row r="2522" spans="1:1" x14ac:dyDescent="0.35">
      <c r="A2522" s="2"/>
    </row>
    <row r="2523" spans="1:1" x14ac:dyDescent="0.35">
      <c r="A2523" s="2"/>
    </row>
    <row r="2524" spans="1:1" x14ac:dyDescent="0.35">
      <c r="A2524" s="2"/>
    </row>
    <row r="2525" spans="1:1" x14ac:dyDescent="0.35">
      <c r="A2525" s="2"/>
    </row>
    <row r="2526" spans="1:1" x14ac:dyDescent="0.35">
      <c r="A2526" s="2"/>
    </row>
    <row r="2527" spans="1:1" x14ac:dyDescent="0.35">
      <c r="A2527" s="2"/>
    </row>
    <row r="2528" spans="1:1" x14ac:dyDescent="0.35">
      <c r="A2528" s="2"/>
    </row>
    <row r="2529" spans="1:1" x14ac:dyDescent="0.35">
      <c r="A2529" s="2"/>
    </row>
    <row r="2530" spans="1:1" x14ac:dyDescent="0.35">
      <c r="A2530" s="2"/>
    </row>
    <row r="2531" spans="1:1" x14ac:dyDescent="0.35">
      <c r="A2531" s="2"/>
    </row>
    <row r="2532" spans="1:1" x14ac:dyDescent="0.35">
      <c r="A2532" s="2"/>
    </row>
    <row r="2533" spans="1:1" x14ac:dyDescent="0.35">
      <c r="A2533" s="2"/>
    </row>
    <row r="2534" spans="1:1" x14ac:dyDescent="0.35">
      <c r="A2534" s="2"/>
    </row>
    <row r="2535" spans="1:1" x14ac:dyDescent="0.35">
      <c r="A2535" s="2"/>
    </row>
    <row r="2536" spans="1:1" x14ac:dyDescent="0.35">
      <c r="A2536" s="2"/>
    </row>
    <row r="2537" spans="1:1" x14ac:dyDescent="0.35">
      <c r="A2537" s="2"/>
    </row>
    <row r="2538" spans="1:1" x14ac:dyDescent="0.35">
      <c r="A2538" s="2"/>
    </row>
    <row r="2539" spans="1:1" x14ac:dyDescent="0.35">
      <c r="A2539" s="2"/>
    </row>
    <row r="2540" spans="1:1" x14ac:dyDescent="0.35">
      <c r="A2540" s="2"/>
    </row>
    <row r="2541" spans="1:1" x14ac:dyDescent="0.35">
      <c r="A2541" s="2"/>
    </row>
    <row r="2542" spans="1:1" x14ac:dyDescent="0.35">
      <c r="A2542" s="2"/>
    </row>
    <row r="2543" spans="1:1" x14ac:dyDescent="0.35">
      <c r="A2543" s="2"/>
    </row>
    <row r="2544" spans="1:1" x14ac:dyDescent="0.35">
      <c r="A2544" s="2"/>
    </row>
    <row r="2545" spans="1:1" x14ac:dyDescent="0.35">
      <c r="A2545" s="2"/>
    </row>
    <row r="2546" spans="1:1" x14ac:dyDescent="0.35">
      <c r="A2546" s="2"/>
    </row>
    <row r="2547" spans="1:1" x14ac:dyDescent="0.35">
      <c r="A2547" s="2"/>
    </row>
    <row r="2548" spans="1:1" x14ac:dyDescent="0.35">
      <c r="A2548" s="2"/>
    </row>
    <row r="2549" spans="1:1" x14ac:dyDescent="0.35">
      <c r="A2549" s="2"/>
    </row>
    <row r="2550" spans="1:1" x14ac:dyDescent="0.35">
      <c r="A2550" s="2"/>
    </row>
    <row r="2551" spans="1:1" x14ac:dyDescent="0.35">
      <c r="A2551" s="2"/>
    </row>
    <row r="2552" spans="1:1" x14ac:dyDescent="0.35">
      <c r="A2552" s="2"/>
    </row>
    <row r="2553" spans="1:1" x14ac:dyDescent="0.35">
      <c r="A2553" s="2"/>
    </row>
    <row r="2554" spans="1:1" x14ac:dyDescent="0.35">
      <c r="A2554" s="2"/>
    </row>
    <row r="2555" spans="1:1" x14ac:dyDescent="0.35">
      <c r="A2555" s="2"/>
    </row>
    <row r="2556" spans="1:1" x14ac:dyDescent="0.35">
      <c r="A2556" s="2"/>
    </row>
    <row r="2557" spans="1:1" x14ac:dyDescent="0.35">
      <c r="A2557" s="2"/>
    </row>
    <row r="2558" spans="1:1" x14ac:dyDescent="0.35">
      <c r="A2558" s="2"/>
    </row>
    <row r="2559" spans="1:1" x14ac:dyDescent="0.35">
      <c r="A2559" s="2"/>
    </row>
    <row r="2560" spans="1:1" x14ac:dyDescent="0.35">
      <c r="A2560" s="2"/>
    </row>
    <row r="2561" spans="1:1" x14ac:dyDescent="0.35">
      <c r="A2561" s="2"/>
    </row>
    <row r="2562" spans="1:1" x14ac:dyDescent="0.35">
      <c r="A2562" s="2"/>
    </row>
    <row r="2563" spans="1:1" x14ac:dyDescent="0.35">
      <c r="A2563" s="2"/>
    </row>
    <row r="2564" spans="1:1" x14ac:dyDescent="0.35">
      <c r="A2564" s="2"/>
    </row>
    <row r="2565" spans="1:1" x14ac:dyDescent="0.35">
      <c r="A2565" s="2"/>
    </row>
    <row r="2566" spans="1:1" x14ac:dyDescent="0.35">
      <c r="A2566" s="2"/>
    </row>
    <row r="2567" spans="1:1" x14ac:dyDescent="0.35">
      <c r="A2567" s="2"/>
    </row>
    <row r="2568" spans="1:1" x14ac:dyDescent="0.35">
      <c r="A2568" s="2"/>
    </row>
    <row r="2569" spans="1:1" x14ac:dyDescent="0.35">
      <c r="A2569" s="2"/>
    </row>
    <row r="2570" spans="1:1" x14ac:dyDescent="0.35">
      <c r="A2570" s="2"/>
    </row>
    <row r="2571" spans="1:1" x14ac:dyDescent="0.35">
      <c r="A2571" s="2"/>
    </row>
    <row r="2572" spans="1:1" x14ac:dyDescent="0.35">
      <c r="A2572" s="2"/>
    </row>
    <row r="2573" spans="1:1" x14ac:dyDescent="0.35">
      <c r="A2573" s="2"/>
    </row>
    <row r="2574" spans="1:1" x14ac:dyDescent="0.35">
      <c r="A2574" s="2"/>
    </row>
    <row r="2575" spans="1:1" x14ac:dyDescent="0.35">
      <c r="A2575" s="2"/>
    </row>
    <row r="2576" spans="1:1" x14ac:dyDescent="0.35">
      <c r="A2576" s="2"/>
    </row>
    <row r="2577" spans="1:1" x14ac:dyDescent="0.35">
      <c r="A2577" s="2"/>
    </row>
    <row r="2578" spans="1:1" x14ac:dyDescent="0.35">
      <c r="A2578" s="2"/>
    </row>
    <row r="2579" spans="1:1" x14ac:dyDescent="0.35">
      <c r="A2579" s="2"/>
    </row>
    <row r="2580" spans="1:1" x14ac:dyDescent="0.35">
      <c r="A2580" s="2"/>
    </row>
    <row r="2581" spans="1:1" x14ac:dyDescent="0.35">
      <c r="A2581" s="2"/>
    </row>
    <row r="2582" spans="1:1" x14ac:dyDescent="0.35">
      <c r="A2582" s="2"/>
    </row>
    <row r="2583" spans="1:1" x14ac:dyDescent="0.35">
      <c r="A2583" s="2"/>
    </row>
    <row r="2584" spans="1:1" x14ac:dyDescent="0.35">
      <c r="A2584" s="2"/>
    </row>
    <row r="2585" spans="1:1" x14ac:dyDescent="0.35">
      <c r="A2585" s="2"/>
    </row>
    <row r="2586" spans="1:1" x14ac:dyDescent="0.35">
      <c r="A2586" s="2"/>
    </row>
    <row r="2587" spans="1:1" x14ac:dyDescent="0.35">
      <c r="A2587" s="2"/>
    </row>
    <row r="2588" spans="1:1" x14ac:dyDescent="0.35">
      <c r="A2588" s="2"/>
    </row>
    <row r="2589" spans="1:1" x14ac:dyDescent="0.35">
      <c r="A2589" s="2"/>
    </row>
    <row r="2590" spans="1:1" x14ac:dyDescent="0.35">
      <c r="A2590" s="2"/>
    </row>
    <row r="2591" spans="1:1" x14ac:dyDescent="0.35">
      <c r="A2591" s="2"/>
    </row>
    <row r="2592" spans="1:1" x14ac:dyDescent="0.35">
      <c r="A2592" s="2"/>
    </row>
    <row r="2593" spans="1:1" x14ac:dyDescent="0.35">
      <c r="A2593" s="2"/>
    </row>
    <row r="2594" spans="1:1" x14ac:dyDescent="0.35">
      <c r="A2594" s="2"/>
    </row>
    <row r="2595" spans="1:1" x14ac:dyDescent="0.35">
      <c r="A2595" s="2"/>
    </row>
    <row r="2596" spans="1:1" x14ac:dyDescent="0.35">
      <c r="A2596" s="2"/>
    </row>
    <row r="2597" spans="1:1" x14ac:dyDescent="0.35">
      <c r="A2597" s="2"/>
    </row>
    <row r="2598" spans="1:1" x14ac:dyDescent="0.35">
      <c r="A2598" s="2"/>
    </row>
    <row r="2599" spans="1:1" x14ac:dyDescent="0.35">
      <c r="A2599" s="2"/>
    </row>
    <row r="2600" spans="1:1" x14ac:dyDescent="0.35">
      <c r="A2600" s="2"/>
    </row>
    <row r="2601" spans="1:1" x14ac:dyDescent="0.35">
      <c r="A2601" s="2"/>
    </row>
    <row r="2602" spans="1:1" x14ac:dyDescent="0.35">
      <c r="A2602" s="2"/>
    </row>
    <row r="2603" spans="1:1" x14ac:dyDescent="0.35">
      <c r="A2603" s="2"/>
    </row>
    <row r="2604" spans="1:1" x14ac:dyDescent="0.35">
      <c r="A2604" s="2"/>
    </row>
    <row r="2605" spans="1:1" x14ac:dyDescent="0.35">
      <c r="A2605" s="2"/>
    </row>
    <row r="2606" spans="1:1" x14ac:dyDescent="0.35">
      <c r="A2606" s="2"/>
    </row>
    <row r="2607" spans="1:1" x14ac:dyDescent="0.35">
      <c r="A2607" s="2"/>
    </row>
    <row r="2608" spans="1:1" x14ac:dyDescent="0.35">
      <c r="A2608" s="2"/>
    </row>
    <row r="2609" spans="1:1" x14ac:dyDescent="0.35">
      <c r="A2609" s="2"/>
    </row>
    <row r="2610" spans="1:1" x14ac:dyDescent="0.35">
      <c r="A2610" s="2"/>
    </row>
    <row r="2611" spans="1:1" x14ac:dyDescent="0.35">
      <c r="A2611" s="2"/>
    </row>
    <row r="2612" spans="1:1" x14ac:dyDescent="0.35">
      <c r="A2612" s="2"/>
    </row>
    <row r="2613" spans="1:1" x14ac:dyDescent="0.35">
      <c r="A2613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6"/>
  <sheetViews>
    <sheetView workbookViewId="0">
      <selection activeCell="G3" sqref="G3"/>
    </sheetView>
  </sheetViews>
  <sheetFormatPr defaultRowHeight="14.5" x14ac:dyDescent="0.35"/>
  <cols>
    <col min="1" max="1" width="10.54296875" customWidth="1"/>
  </cols>
  <sheetData>
    <row r="1" spans="1:22" x14ac:dyDescent="0.35">
      <c r="B1" t="s">
        <v>432</v>
      </c>
      <c r="C1" t="s">
        <v>27</v>
      </c>
      <c r="D1" t="s">
        <v>35</v>
      </c>
      <c r="E1" t="s">
        <v>30</v>
      </c>
      <c r="F1" t="s">
        <v>23</v>
      </c>
      <c r="G1" t="s">
        <v>29</v>
      </c>
      <c r="H1" t="s">
        <v>33</v>
      </c>
      <c r="I1" t="s">
        <v>24</v>
      </c>
      <c r="J1" t="s">
        <v>7</v>
      </c>
      <c r="K1" t="s">
        <v>21</v>
      </c>
      <c r="L1" t="s">
        <v>12</v>
      </c>
      <c r="M1" t="s">
        <v>22</v>
      </c>
      <c r="N1" t="s">
        <v>28</v>
      </c>
      <c r="O1" t="s">
        <v>32</v>
      </c>
      <c r="P1" t="s">
        <v>26</v>
      </c>
      <c r="Q1" t="s">
        <v>31</v>
      </c>
      <c r="R1" t="s">
        <v>757</v>
      </c>
      <c r="S1" t="s">
        <v>25</v>
      </c>
      <c r="T1" t="s">
        <v>34</v>
      </c>
      <c r="U1" t="s">
        <v>37</v>
      </c>
      <c r="V1" t="s">
        <v>36</v>
      </c>
    </row>
    <row r="2" spans="1:22" x14ac:dyDescent="0.35">
      <c r="B2" t="s">
        <v>864</v>
      </c>
      <c r="C2" t="s">
        <v>865</v>
      </c>
      <c r="D2" t="s">
        <v>866</v>
      </c>
      <c r="E2" t="s">
        <v>867</v>
      </c>
      <c r="F2" t="s">
        <v>868</v>
      </c>
      <c r="G2" t="s">
        <v>29</v>
      </c>
      <c r="H2" t="s">
        <v>870</v>
      </c>
      <c r="I2" t="s">
        <v>871</v>
      </c>
      <c r="J2" t="s">
        <v>872</v>
      </c>
      <c r="K2" t="s">
        <v>873</v>
      </c>
      <c r="L2" t="s">
        <v>874</v>
      </c>
      <c r="M2" t="s">
        <v>875</v>
      </c>
      <c r="N2" t="s">
        <v>876</v>
      </c>
      <c r="O2" t="s">
        <v>877</v>
      </c>
      <c r="P2" t="s">
        <v>864</v>
      </c>
      <c r="Q2" t="s">
        <v>878</v>
      </c>
      <c r="R2" t="s">
        <v>914</v>
      </c>
      <c r="S2" t="s">
        <v>879</v>
      </c>
      <c r="T2" t="s">
        <v>880</v>
      </c>
      <c r="U2" t="s">
        <v>37</v>
      </c>
      <c r="V2" t="s">
        <v>882</v>
      </c>
    </row>
    <row r="3" spans="1:22" x14ac:dyDescent="0.35">
      <c r="A3" s="2" cm="1">
        <f t="array" ref="A3:A22">_xll.FDSB(C2,"JULIAN(FMA_EPS(NTMA,-20AY,0,CY,,""PORTAGG"",""MEANR"").dates)")</f>
        <v>38352</v>
      </c>
      <c r="B3" t="str" cm="1">
        <f t="array" ref="B3:B22">_xll.FDSB(B2,"FMA_EPS(NTMA,-20AY,0,CY,,""PORTAGG"",""MEANR"")")</f>
        <v/>
      </c>
      <c r="C3" cm="1">
        <f t="array" ref="C3:C22">_xll.FDSB(C2,"FMA_EPS(NTMA,-20AY,0,CY,,""PORTAGG"",""MEANR"")")</f>
        <v>13.434564576232701</v>
      </c>
      <c r="D3" cm="1">
        <f t="array" ref="D3:D22">_xll.FDSB(D2,"FMA_EPS(NTMA,-20AY,0,CY,,""PORTAGG"",""MEANR"")")</f>
        <v>29.328407388037199</v>
      </c>
      <c r="E3" cm="1">
        <f t="array" ref="E3:E22">_xll.FDSB(E2,"FMA_EPS(NTMA,-20AY,0,CY,,""PORTAGG"",""MEANR"")")</f>
        <v>8.5922008253969793</v>
      </c>
      <c r="F3" cm="1">
        <f t="array" ref="F3:F22">_xll.FDSB(F2,"FMA_EPS(NTMA,-20AY,0,CY,,""PORTAGG"",""MEANR"")")</f>
        <v>11.3956611787009</v>
      </c>
      <c r="G3" t="str" cm="1">
        <f t="array" ref="G3:G22">_xll.FDSB(G2,"FMA_EPS(NTMA,-20AY,0,CY,,""PORTAGG"",""MEANR"")")</f>
        <v/>
      </c>
      <c r="H3" cm="1">
        <f t="array" ref="H3:H22">_xll.FDSB(H2,"FMA_EPS(NTMA,-20AY,0,CY,,""PORTAGG"",""MEANR"")")</f>
        <v>10.1502703335633</v>
      </c>
      <c r="I3" cm="1">
        <f t="array" ref="I3:I22">_xll.FDSB(I2,"FMA_EPS(NTMA,-20AY,0,CY,,""PORTAGG"",""MEANR"")")</f>
        <v>9.1203142637957306</v>
      </c>
      <c r="J3" cm="1">
        <f t="array" ref="J3:J22">_xll.FDSB(J2,"FMA_EPS(NTMA,-20AY,0,CY,,""PORTAGG"",""MEANR"")")</f>
        <v>12.7623750851153</v>
      </c>
      <c r="K3" cm="1">
        <f t="array" ref="K3:K22">_xll.FDSB(K2,"FMA_EPS(NTMA,-20AY,0,CY,,""PORTAGG"",""MEANR"")")</f>
        <v>25.662347195809001</v>
      </c>
      <c r="L3" cm="1">
        <f t="array" ref="L3:L22">_xll.FDSB(L2,"FMA_EPS(NTMA,-20AY,0,CY,,""PORTAGG"",""MEANR"")")</f>
        <v>15.9634949001004</v>
      </c>
      <c r="M3" cm="1">
        <f t="array" ref="M3:M22">_xll.FDSB(M2,"FMA_EPS(NTMA,-20AY,0,CY,,""PORTAGG"",""MEANR"")")</f>
        <v>21.173858585297399</v>
      </c>
      <c r="N3" cm="1">
        <f t="array" ref="N3:N22">_xll.FDSB(N2,"FMA_EPS(NTMA,-20AY,0,CY,,""PORTAGG"",""MEANR"")")</f>
        <v>10.0263829592273</v>
      </c>
      <c r="O3" cm="1">
        <f t="array" ref="O3:O22">_xll.FDSB(O2,"FMA_EPS(NTMA,-20AY,0,CY,,""PORTAGG"",""MEANR"")")</f>
        <v>17.002762686970801</v>
      </c>
      <c r="P3" t="str" cm="1">
        <f t="array" ref="P3:P22">_xll.FDSB(P2,"FMA_EPS(NTMA,-20AY,0,CY,,""PORTAGG"",""MEANR"")")</f>
        <v/>
      </c>
      <c r="Q3" t="str" cm="1">
        <f t="array" ref="Q3:Q22">_xll.FDSB(Q2,"FMA_EPS(NTMA,-20AY,0,CY,,""PORTAGG"",""MEANR"")")</f>
        <v/>
      </c>
      <c r="R3" cm="1">
        <f t="array" ref="R3:R22">_xll.FDSB(R2,"FMA_EPS(NTMA,-20AY,0,CY,,""PORTAGG"",""MEANR"")")</f>
        <v>31.2696221195453</v>
      </c>
      <c r="S3" cm="1">
        <f t="array" ref="S3:S22">_xll.FDSB(S2,"FMA_EPS(NTMA,-20AY,0,CY,,""PORTAGG"",""MEANR"")")</f>
        <v>9.8646328541385593</v>
      </c>
      <c r="T3" t="str" cm="1">
        <f t="array" ref="T3:T22">_xll.FDSB(T2,"FMA_EPS(NTMA,-20AY,0,CY,,""PORTAGG"",""MEANR"")")</f>
        <v/>
      </c>
      <c r="U3" t="str" cm="1">
        <f t="array" ref="U3:U22">_xll.FDSB(U2,"FMA_EPS(NTMA,-20AY,0,CY,,""PORTAGG"",""MEANR"")")</f>
        <v/>
      </c>
      <c r="V3" t="str" cm="1">
        <f t="array" ref="V3:V22">_xll.FDSB(V2,"FMA_EPS(NTMA,-20AY,0,CY,,""PORTAGG"",""MEANR"")")</f>
        <v/>
      </c>
    </row>
    <row r="4" spans="1:22" x14ac:dyDescent="0.35">
      <c r="A4" s="2">
        <v>38716</v>
      </c>
      <c r="B4">
        <v>5.0849569667120598</v>
      </c>
      <c r="C4">
        <v>13.9377456000386</v>
      </c>
      <c r="D4">
        <v>28.502304622053899</v>
      </c>
      <c r="E4">
        <v>10.2584058872744</v>
      </c>
      <c r="F4">
        <v>13.1552545733141</v>
      </c>
      <c r="G4" t="str">
        <v/>
      </c>
      <c r="H4">
        <v>10.4437641251748</v>
      </c>
      <c r="I4">
        <v>8.9303476254385998</v>
      </c>
      <c r="J4">
        <v>17.492700987289101</v>
      </c>
      <c r="K4">
        <v>29.7949627913341</v>
      </c>
      <c r="L4">
        <v>22.269679165579401</v>
      </c>
      <c r="M4">
        <v>23.7133706065956</v>
      </c>
      <c r="N4">
        <v>10.1383155721295</v>
      </c>
      <c r="O4">
        <v>19.822720636055699</v>
      </c>
      <c r="P4">
        <v>5.0849569667120598</v>
      </c>
      <c r="Q4" t="str">
        <v/>
      </c>
      <c r="R4">
        <v>27.830708973543</v>
      </c>
      <c r="S4">
        <v>13.697013097437001</v>
      </c>
      <c r="T4" t="str">
        <v/>
      </c>
      <c r="U4" t="str">
        <v/>
      </c>
      <c r="V4" t="str">
        <v/>
      </c>
    </row>
    <row r="5" spans="1:22" x14ac:dyDescent="0.35">
      <c r="A5" s="2">
        <v>39080</v>
      </c>
      <c r="B5">
        <v>6.0338155171964196</v>
      </c>
      <c r="C5">
        <v>16.9673771165975</v>
      </c>
      <c r="D5">
        <v>34.685901402476503</v>
      </c>
      <c r="E5">
        <v>13.469280972785601</v>
      </c>
      <c r="F5">
        <v>20.138294009379599</v>
      </c>
      <c r="G5" t="str">
        <v/>
      </c>
      <c r="H5">
        <v>12.9724796418955</v>
      </c>
      <c r="I5">
        <v>10.2763772347485</v>
      </c>
      <c r="J5">
        <v>24.322714007841299</v>
      </c>
      <c r="K5">
        <v>31.250374805375401</v>
      </c>
      <c r="L5">
        <v>25.3174251708984</v>
      </c>
      <c r="M5">
        <v>27.645162928456401</v>
      </c>
      <c r="N5">
        <v>13.780296395743999</v>
      </c>
      <c r="O5">
        <v>24.865697095124499</v>
      </c>
      <c r="P5">
        <v>6.0338155171964196</v>
      </c>
      <c r="Q5">
        <v>8.1997996508561393</v>
      </c>
      <c r="R5">
        <v>28.9087147679287</v>
      </c>
      <c r="S5">
        <v>15.4857358154397</v>
      </c>
      <c r="T5">
        <v>9.51942202383999</v>
      </c>
      <c r="U5" t="str">
        <v/>
      </c>
      <c r="V5" t="str">
        <v/>
      </c>
    </row>
    <row r="6" spans="1:22" x14ac:dyDescent="0.35">
      <c r="A6" s="2">
        <v>39447</v>
      </c>
      <c r="B6">
        <v>10.2264803534379</v>
      </c>
      <c r="C6">
        <v>22.3266043070326</v>
      </c>
      <c r="D6">
        <v>3676.2417673763898</v>
      </c>
      <c r="E6">
        <v>18.211056811030801</v>
      </c>
      <c r="F6">
        <v>27.2509703511728</v>
      </c>
      <c r="G6" t="str">
        <v/>
      </c>
      <c r="H6">
        <v>18.250339618841501</v>
      </c>
      <c r="I6">
        <v>12.364251957099199</v>
      </c>
      <c r="J6">
        <v>28.635869198830701</v>
      </c>
      <c r="K6">
        <v>35.671095666108002</v>
      </c>
      <c r="L6">
        <v>34.973662117333703</v>
      </c>
      <c r="M6">
        <v>34.561632181906702</v>
      </c>
      <c r="N6">
        <v>19.068788451230098</v>
      </c>
      <c r="O6">
        <v>36.988283944428701</v>
      </c>
      <c r="P6">
        <v>10.2264803534379</v>
      </c>
      <c r="Q6">
        <v>9.8686300832495508</v>
      </c>
      <c r="R6">
        <v>30.297662290330599</v>
      </c>
      <c r="S6">
        <v>22.335232530358301</v>
      </c>
      <c r="T6">
        <v>6.2741725599174698</v>
      </c>
      <c r="U6" t="str">
        <v/>
      </c>
      <c r="V6">
        <v>3.96336847567451</v>
      </c>
    </row>
    <row r="7" spans="1:22" x14ac:dyDescent="0.35">
      <c r="A7" s="2">
        <v>39813</v>
      </c>
      <c r="B7">
        <v>9.2256018344914992</v>
      </c>
      <c r="C7">
        <v>16.972614299954699</v>
      </c>
      <c r="D7">
        <v>35.3597916554534</v>
      </c>
      <c r="E7">
        <v>13.051550229378901</v>
      </c>
      <c r="F7">
        <v>17.815469153300199</v>
      </c>
      <c r="G7" t="str">
        <v/>
      </c>
      <c r="H7">
        <v>14.0466581252587</v>
      </c>
      <c r="I7">
        <v>4.81199406443955</v>
      </c>
      <c r="J7">
        <v>18.398112178707098</v>
      </c>
      <c r="K7">
        <v>19.0450116297318</v>
      </c>
      <c r="L7">
        <v>24.6574673527732</v>
      </c>
      <c r="M7">
        <v>25.2671072778123</v>
      </c>
      <c r="N7">
        <v>14.4348202091653</v>
      </c>
      <c r="O7">
        <v>27.436164618174999</v>
      </c>
      <c r="P7">
        <v>9.2256018344914992</v>
      </c>
      <c r="Q7">
        <v>11.841618351085501</v>
      </c>
      <c r="R7">
        <v>23.8840282811916</v>
      </c>
      <c r="S7">
        <v>17.019420756228701</v>
      </c>
      <c r="T7">
        <v>8.0207481936270408</v>
      </c>
      <c r="U7" t="str">
        <v/>
      </c>
      <c r="V7">
        <v>3.2662604239358299</v>
      </c>
    </row>
    <row r="8" spans="1:22" x14ac:dyDescent="0.35">
      <c r="A8" s="2">
        <v>40178</v>
      </c>
      <c r="B8">
        <v>11.172170635010501</v>
      </c>
      <c r="C8">
        <v>22.045037488644301</v>
      </c>
      <c r="D8">
        <v>47.736144700177597</v>
      </c>
      <c r="E8">
        <v>16.0518603317777</v>
      </c>
      <c r="F8">
        <v>15.6334740740598</v>
      </c>
      <c r="G8">
        <v>2.32525395129155</v>
      </c>
      <c r="H8">
        <v>15.3757138406976</v>
      </c>
      <c r="I8">
        <v>7.9148861520771696</v>
      </c>
      <c r="J8">
        <v>21.122558654936402</v>
      </c>
      <c r="K8">
        <v>29.953975453925199</v>
      </c>
      <c r="L8">
        <v>33.0231081589585</v>
      </c>
      <c r="M8">
        <v>27.848981543161202</v>
      </c>
      <c r="N8">
        <v>11.777677999312401</v>
      </c>
      <c r="O8">
        <v>31.175992210796799</v>
      </c>
      <c r="P8">
        <v>11.172170635010501</v>
      </c>
      <c r="Q8">
        <v>9.7651145501040304</v>
      </c>
      <c r="R8">
        <v>35.389277737747101</v>
      </c>
      <c r="S8">
        <v>19.583149948253201</v>
      </c>
      <c r="T8">
        <v>5.6130526578387299</v>
      </c>
      <c r="U8">
        <v>1.7655692979856199</v>
      </c>
      <c r="V8">
        <v>2.53989246401814</v>
      </c>
    </row>
    <row r="9" spans="1:22" x14ac:dyDescent="0.35">
      <c r="A9" s="2">
        <v>40543</v>
      </c>
      <c r="B9">
        <v>14.2299143361003</v>
      </c>
      <c r="C9">
        <v>30.880542839610801</v>
      </c>
      <c r="D9">
        <v>65.769342621641997</v>
      </c>
      <c r="E9">
        <v>24.458649668672901</v>
      </c>
      <c r="F9">
        <v>20.0842977011357</v>
      </c>
      <c r="G9">
        <v>3.7045509962640399</v>
      </c>
      <c r="H9">
        <v>21.430664410270701</v>
      </c>
      <c r="I9">
        <v>11.891895954229099</v>
      </c>
      <c r="J9">
        <v>25.2833135475083</v>
      </c>
      <c r="K9">
        <v>37.906953014038002</v>
      </c>
      <c r="L9">
        <v>41.0114711872356</v>
      </c>
      <c r="M9">
        <v>37.978963069454203</v>
      </c>
      <c r="N9">
        <v>7.8987242847613599</v>
      </c>
      <c r="O9">
        <v>39.399448287295499</v>
      </c>
      <c r="P9">
        <v>14.2299143361003</v>
      </c>
      <c r="Q9">
        <v>8.6719190289465793</v>
      </c>
      <c r="R9">
        <v>41.786625850275499</v>
      </c>
      <c r="S9">
        <v>23.345771630522901</v>
      </c>
      <c r="T9">
        <v>4.4877335446446303</v>
      </c>
      <c r="U9">
        <v>1.77344510490664</v>
      </c>
      <c r="V9">
        <v>2.77600916912685</v>
      </c>
    </row>
    <row r="10" spans="1:22" x14ac:dyDescent="0.35">
      <c r="A10" s="2">
        <v>40907</v>
      </c>
      <c r="B10">
        <v>15.4690015453803</v>
      </c>
      <c r="C10">
        <v>24.552408537181201</v>
      </c>
      <c r="D10">
        <v>77.346909090614204</v>
      </c>
      <c r="E10">
        <v>25.970387374977399</v>
      </c>
      <c r="F10">
        <v>17.725643748249102</v>
      </c>
      <c r="G10">
        <v>3.9100031056468501</v>
      </c>
      <c r="H10">
        <v>21.349017614840399</v>
      </c>
      <c r="I10">
        <v>8.7872843312793307</v>
      </c>
      <c r="J10">
        <v>25.363261988991599</v>
      </c>
      <c r="K10">
        <v>39.165024540945602</v>
      </c>
      <c r="L10">
        <v>37.007882634304003</v>
      </c>
      <c r="M10">
        <v>35.9045018487394</v>
      </c>
      <c r="N10">
        <v>4.2553200766717696</v>
      </c>
      <c r="O10">
        <v>33.207570085117901</v>
      </c>
      <c r="P10">
        <v>15.4690015453803</v>
      </c>
      <c r="Q10">
        <v>9.6607184301562992</v>
      </c>
      <c r="R10">
        <v>42.213108357164799</v>
      </c>
      <c r="S10">
        <v>19.9467070950164</v>
      </c>
      <c r="T10">
        <v>4.3627653297222899</v>
      </c>
      <c r="U10">
        <v>1.79926295005356</v>
      </c>
      <c r="V10">
        <v>3.2952128280511599</v>
      </c>
    </row>
    <row r="11" spans="1:22" x14ac:dyDescent="0.35">
      <c r="A11" s="2">
        <v>41274</v>
      </c>
      <c r="B11">
        <v>14.1959016123051</v>
      </c>
      <c r="C11">
        <v>26.169136062574299</v>
      </c>
      <c r="D11">
        <v>77.305189144590102</v>
      </c>
      <c r="E11">
        <v>28.057121050887599</v>
      </c>
      <c r="F11">
        <v>16.740047713355001</v>
      </c>
      <c r="G11">
        <v>3.95899801372697</v>
      </c>
      <c r="H11">
        <v>22.688480628153599</v>
      </c>
      <c r="I11">
        <v>9.2480782933114796</v>
      </c>
      <c r="J11">
        <v>28.0716519822771</v>
      </c>
      <c r="K11">
        <v>44.428480693781999</v>
      </c>
      <c r="L11">
        <v>30.109429091146598</v>
      </c>
      <c r="M11">
        <v>33.843661536537198</v>
      </c>
      <c r="N11">
        <v>3.4875799233974099</v>
      </c>
      <c r="O11">
        <v>33.401599807044498</v>
      </c>
      <c r="P11">
        <v>14.1959016123051</v>
      </c>
      <c r="Q11">
        <v>10.032167550511801</v>
      </c>
      <c r="R11">
        <v>48.114746973891002</v>
      </c>
      <c r="S11">
        <v>22.867118795456701</v>
      </c>
      <c r="T11">
        <v>4.5777608941325196</v>
      </c>
      <c r="U11">
        <v>2.1935186011017</v>
      </c>
      <c r="V11">
        <v>3.6105144468135402</v>
      </c>
    </row>
    <row r="12" spans="1:22" x14ac:dyDescent="0.35">
      <c r="A12" s="2">
        <v>41639</v>
      </c>
      <c r="B12">
        <v>16.0802582554231</v>
      </c>
      <c r="C12">
        <v>23.683868392776201</v>
      </c>
      <c r="D12">
        <v>63.441435673400598</v>
      </c>
      <c r="E12">
        <v>26.002546336643899</v>
      </c>
      <c r="F12">
        <v>17.3182407358996</v>
      </c>
      <c r="G12">
        <v>2.8202218503368601</v>
      </c>
      <c r="H12">
        <v>22.317891358013298</v>
      </c>
      <c r="I12">
        <v>10.335608729129101</v>
      </c>
      <c r="J12">
        <v>26.2005304543781</v>
      </c>
      <c r="K12">
        <v>44.151808890174003</v>
      </c>
      <c r="L12">
        <v>25.624881086071898</v>
      </c>
      <c r="M12">
        <v>28.3585622697464</v>
      </c>
      <c r="N12">
        <v>1.35869561359766</v>
      </c>
      <c r="O12">
        <v>29.9102522143572</v>
      </c>
      <c r="P12">
        <v>16.0802582554231</v>
      </c>
      <c r="Q12">
        <v>9.6964761998417899</v>
      </c>
      <c r="R12">
        <v>45.5007724746185</v>
      </c>
      <c r="S12">
        <v>20.082880330268502</v>
      </c>
      <c r="T12">
        <v>5.6185255603787096</v>
      </c>
      <c r="U12">
        <v>2.0345477246873198</v>
      </c>
      <c r="V12">
        <v>3.7978958686548001</v>
      </c>
    </row>
    <row r="13" spans="1:22" x14ac:dyDescent="0.35">
      <c r="A13" s="2">
        <v>42004</v>
      </c>
      <c r="B13">
        <v>16.6306210914505</v>
      </c>
      <c r="C13">
        <v>20.4877824093345</v>
      </c>
      <c r="D13">
        <v>63.874105605238</v>
      </c>
      <c r="E13">
        <v>28.327573023517299</v>
      </c>
      <c r="F13">
        <v>14.552565432564201</v>
      </c>
      <c r="G13">
        <v>2.5800472765187399</v>
      </c>
      <c r="H13">
        <v>20.491120731199398</v>
      </c>
      <c r="I13">
        <v>11.5748258148764</v>
      </c>
      <c r="J13">
        <v>23.6403453539385</v>
      </c>
      <c r="K13">
        <v>37.529910720556103</v>
      </c>
      <c r="L13">
        <v>21.0352241233002</v>
      </c>
      <c r="M13">
        <v>25.4355494971776</v>
      </c>
      <c r="N13">
        <v>2.30816157475713</v>
      </c>
      <c r="O13">
        <v>32.635673377426201</v>
      </c>
      <c r="P13">
        <v>16.6306210914505</v>
      </c>
      <c r="Q13">
        <v>9.7275664879185797</v>
      </c>
      <c r="R13">
        <v>42.846065697040999</v>
      </c>
      <c r="S13">
        <v>19.5514117112726</v>
      </c>
      <c r="T13">
        <v>6.6276583968020901</v>
      </c>
      <c r="U13">
        <v>1.5703955829648499</v>
      </c>
      <c r="V13">
        <v>3.7500511590498902</v>
      </c>
    </row>
    <row r="14" spans="1:22" x14ac:dyDescent="0.35">
      <c r="A14" s="2">
        <v>42369</v>
      </c>
      <c r="B14">
        <v>16.640425298627001</v>
      </c>
      <c r="C14">
        <v>18.4268311165022</v>
      </c>
      <c r="D14">
        <v>48.752618492065203</v>
      </c>
      <c r="E14">
        <v>26.217086843705498</v>
      </c>
      <c r="F14">
        <v>12.491276881256599</v>
      </c>
      <c r="G14">
        <v>1.7402921975997001</v>
      </c>
      <c r="H14">
        <v>16.012857621985699</v>
      </c>
      <c r="I14">
        <v>10.818274707680301</v>
      </c>
      <c r="J14">
        <v>20.954555901450501</v>
      </c>
      <c r="K14">
        <v>33.459612643889997</v>
      </c>
      <c r="L14">
        <v>13.1501919917959</v>
      </c>
      <c r="M14">
        <v>19.9580367513956</v>
      </c>
      <c r="N14">
        <v>1.4022964691147199</v>
      </c>
      <c r="O14">
        <v>32.803372477551903</v>
      </c>
      <c r="P14">
        <v>16.640425298627001</v>
      </c>
      <c r="Q14">
        <v>9.2580209054864202</v>
      </c>
      <c r="R14">
        <v>39.047339763588397</v>
      </c>
      <c r="S14">
        <v>17.401191947957599</v>
      </c>
      <c r="T14">
        <v>6.4932849928941803</v>
      </c>
      <c r="U14">
        <v>1.29980601244052</v>
      </c>
      <c r="V14">
        <v>3.2910319076638199</v>
      </c>
    </row>
    <row r="15" spans="1:22" x14ac:dyDescent="0.35">
      <c r="A15" s="2">
        <v>42734</v>
      </c>
      <c r="B15">
        <v>16.5240809032362</v>
      </c>
      <c r="C15">
        <v>17.2536219467367</v>
      </c>
      <c r="D15">
        <v>55.988904163635198</v>
      </c>
      <c r="E15">
        <v>26.557287186914401</v>
      </c>
      <c r="F15">
        <v>13.2484078165723</v>
      </c>
      <c r="G15">
        <v>2.8587512141432998</v>
      </c>
      <c r="H15">
        <v>14.379141073513299</v>
      </c>
      <c r="I15">
        <v>11.1314122132999</v>
      </c>
      <c r="J15">
        <v>19.8032110904755</v>
      </c>
      <c r="K15">
        <v>36.537927929167203</v>
      </c>
      <c r="L15">
        <v>17.125192658189</v>
      </c>
      <c r="M15">
        <v>24.096632837755202</v>
      </c>
      <c r="N15">
        <v>0.48515441037968599</v>
      </c>
      <c r="O15">
        <v>33.358186869155702</v>
      </c>
      <c r="P15">
        <v>16.5240809032362</v>
      </c>
      <c r="Q15">
        <v>8.1341841933758605</v>
      </c>
      <c r="R15">
        <v>39.7546846722989</v>
      </c>
      <c r="S15">
        <v>16.482662150029899</v>
      </c>
      <c r="T15">
        <v>6.0861078287768198</v>
      </c>
      <c r="U15">
        <v>1.0361948033030399</v>
      </c>
      <c r="V15">
        <v>2.8201608521155102</v>
      </c>
    </row>
    <row r="16" spans="1:22" x14ac:dyDescent="0.35">
      <c r="A16" s="2">
        <v>43098</v>
      </c>
      <c r="B16">
        <v>19.021710790433701</v>
      </c>
      <c r="C16">
        <v>26.363304905960199</v>
      </c>
      <c r="D16">
        <v>62.060562018711998</v>
      </c>
      <c r="E16">
        <v>30.208789832529</v>
      </c>
      <c r="F16">
        <v>19.471618619553499</v>
      </c>
      <c r="G16">
        <v>3.0493946041890001</v>
      </c>
      <c r="H16">
        <v>17.421806582670801</v>
      </c>
      <c r="I16">
        <v>13.688243472002901</v>
      </c>
      <c r="J16">
        <v>23.417378316250598</v>
      </c>
      <c r="K16">
        <v>53.6332908559232</v>
      </c>
      <c r="L16">
        <v>19.018321624573499</v>
      </c>
      <c r="M16">
        <v>27.723577253282201</v>
      </c>
      <c r="N16">
        <v>0.50597941155248904</v>
      </c>
      <c r="O16">
        <v>38.022971364529099</v>
      </c>
      <c r="P16">
        <v>19.021710790433701</v>
      </c>
      <c r="Q16">
        <v>7.8063683836513604</v>
      </c>
      <c r="R16">
        <v>47.2983820623366</v>
      </c>
      <c r="S16">
        <v>20.8864123256607</v>
      </c>
      <c r="T16">
        <v>7.1196723903505896</v>
      </c>
      <c r="U16">
        <v>0.937220389578586</v>
      </c>
      <c r="V16">
        <v>3.2115537135205399</v>
      </c>
    </row>
    <row r="17" spans="1:22" x14ac:dyDescent="0.35">
      <c r="A17" s="2">
        <v>43465</v>
      </c>
      <c r="B17">
        <v>18.005603285854001</v>
      </c>
      <c r="C17">
        <v>21.6808239098782</v>
      </c>
      <c r="D17">
        <v>62.720518466032097</v>
      </c>
      <c r="E17">
        <v>29.617777137877201</v>
      </c>
      <c r="F17">
        <v>18.0244220851928</v>
      </c>
      <c r="G17">
        <v>2.6545938156590698</v>
      </c>
      <c r="H17">
        <v>16.346373454046699</v>
      </c>
      <c r="I17">
        <v>12.893459081837699</v>
      </c>
      <c r="J17">
        <v>25.545457616017199</v>
      </c>
      <c r="K17">
        <v>45.924113688163203</v>
      </c>
      <c r="L17">
        <v>20.421960422512399</v>
      </c>
      <c r="M17">
        <v>26.704915589881299</v>
      </c>
      <c r="N17">
        <v>0.451702417206922</v>
      </c>
      <c r="O17">
        <v>36.620398667265697</v>
      </c>
      <c r="P17">
        <v>18.005603285854001</v>
      </c>
      <c r="Q17">
        <v>8.3367750968187107</v>
      </c>
      <c r="R17">
        <v>49.708084418047697</v>
      </c>
      <c r="S17">
        <v>19.084889838822601</v>
      </c>
      <c r="T17">
        <v>7.1378854296696597</v>
      </c>
      <c r="U17">
        <v>1.0390404741058199</v>
      </c>
      <c r="V17">
        <v>3.27157784678448</v>
      </c>
    </row>
    <row r="18" spans="1:22" x14ac:dyDescent="0.35">
      <c r="A18" s="2">
        <v>43830</v>
      </c>
      <c r="B18">
        <v>17.633778421811801</v>
      </c>
      <c r="C18">
        <v>17.382962129471998</v>
      </c>
      <c r="D18">
        <v>63.732476760185897</v>
      </c>
      <c r="E18">
        <v>33.758710237438798</v>
      </c>
      <c r="F18">
        <v>16.918160023137599</v>
      </c>
      <c r="G18">
        <v>2.4380740905973202</v>
      </c>
      <c r="H18">
        <v>15.698795471869399</v>
      </c>
      <c r="I18">
        <v>12.9786240269014</v>
      </c>
      <c r="J18">
        <v>25.369127373460199</v>
      </c>
      <c r="K18">
        <v>35.890211125267598</v>
      </c>
      <c r="L18">
        <v>20.130019715573301</v>
      </c>
      <c r="M18">
        <v>31.8782513894411</v>
      </c>
      <c r="N18">
        <v>0.58009613257671799</v>
      </c>
      <c r="O18">
        <v>36.306831688319903</v>
      </c>
      <c r="P18">
        <v>17.633778421811801</v>
      </c>
      <c r="Q18">
        <v>7.7374565221448997</v>
      </c>
      <c r="R18">
        <v>48.124032372698501</v>
      </c>
      <c r="S18">
        <v>22.565965975237901</v>
      </c>
      <c r="T18">
        <v>7.0206655006788203</v>
      </c>
      <c r="U18">
        <v>1.1160182204931299</v>
      </c>
      <c r="V18">
        <v>2.3531585113610198</v>
      </c>
    </row>
    <row r="19" spans="1:22" x14ac:dyDescent="0.35">
      <c r="A19" s="2">
        <v>44196</v>
      </c>
      <c r="B19">
        <v>17.489360153066599</v>
      </c>
      <c r="C19">
        <v>15.4719123326967</v>
      </c>
      <c r="D19">
        <v>51.526543347433702</v>
      </c>
      <c r="E19">
        <v>25.625710924974001</v>
      </c>
      <c r="F19">
        <v>12.725119300051601</v>
      </c>
      <c r="G19">
        <v>2.4114100736168602</v>
      </c>
      <c r="H19">
        <v>16.3882261586729</v>
      </c>
      <c r="I19">
        <v>15.9425104030346</v>
      </c>
      <c r="J19">
        <v>22.3569609127116</v>
      </c>
      <c r="K19">
        <v>42.700667821139596</v>
      </c>
      <c r="L19">
        <v>14.931168358900599</v>
      </c>
      <c r="M19">
        <v>34.374878434441797</v>
      </c>
      <c r="N19">
        <v>0.55741767368310902</v>
      </c>
      <c r="O19">
        <v>33.710924156962697</v>
      </c>
      <c r="P19">
        <v>17.489360153066599</v>
      </c>
      <c r="Q19">
        <v>7.7846531590948196</v>
      </c>
      <c r="R19">
        <v>34.710630730171303</v>
      </c>
      <c r="S19">
        <v>23.281428089933101</v>
      </c>
      <c r="T19">
        <v>5.1277339664560504</v>
      </c>
      <c r="U19">
        <v>1.03737378869621</v>
      </c>
      <c r="V19">
        <v>1.9330314991519799</v>
      </c>
    </row>
    <row r="20" spans="1:22" x14ac:dyDescent="0.35">
      <c r="A20" s="2">
        <v>44561</v>
      </c>
      <c r="B20">
        <v>21.269064904691401</v>
      </c>
      <c r="C20">
        <v>18.682993577398801</v>
      </c>
      <c r="D20">
        <v>58.771178380836297</v>
      </c>
      <c r="E20">
        <v>24.890007164849699</v>
      </c>
      <c r="F20">
        <v>16.795925418676902</v>
      </c>
      <c r="G20">
        <v>2.9485499479620398</v>
      </c>
      <c r="H20">
        <v>16.008552449802099</v>
      </c>
      <c r="I20">
        <v>24.305116438436901</v>
      </c>
      <c r="J20">
        <v>28.181628201673298</v>
      </c>
      <c r="K20">
        <v>51.191917667836996</v>
      </c>
      <c r="L20">
        <v>18.5635370348515</v>
      </c>
      <c r="M20">
        <v>36.851318548135097</v>
      </c>
      <c r="N20">
        <v>0.62188546902171704</v>
      </c>
      <c r="O20">
        <v>47.005240463817003</v>
      </c>
      <c r="P20">
        <v>21.269064904691401</v>
      </c>
      <c r="Q20">
        <v>9.3577310145755703</v>
      </c>
      <c r="R20">
        <v>40.272341500770501</v>
      </c>
      <c r="S20">
        <v>19.758356819770899</v>
      </c>
      <c r="T20">
        <v>7.5479683625438199</v>
      </c>
      <c r="U20">
        <v>1.2888433367428</v>
      </c>
      <c r="V20">
        <v>3.0736788279239202</v>
      </c>
    </row>
    <row r="21" spans="1:22" x14ac:dyDescent="0.35">
      <c r="A21" s="2">
        <v>44925</v>
      </c>
      <c r="B21">
        <v>20.365457740438199</v>
      </c>
      <c r="C21">
        <v>25.906172776300899</v>
      </c>
      <c r="D21">
        <v>64.972794174404996</v>
      </c>
      <c r="E21">
        <v>26.836878670313801</v>
      </c>
      <c r="F21">
        <v>17.088924383662398</v>
      </c>
      <c r="G21">
        <v>3.1160967943484699</v>
      </c>
      <c r="H21">
        <v>16.703810711850601</v>
      </c>
      <c r="I21">
        <v>19.760160865657198</v>
      </c>
      <c r="J21">
        <v>32.531987143471497</v>
      </c>
      <c r="K21">
        <v>35.254055570277401</v>
      </c>
      <c r="L21">
        <v>21.063409986951601</v>
      </c>
      <c r="M21">
        <v>38.612287223850302</v>
      </c>
      <c r="N21">
        <v>0.86953187662514597</v>
      </c>
      <c r="O21">
        <v>46.029957277036999</v>
      </c>
      <c r="P21">
        <v>20.365457740438199</v>
      </c>
      <c r="Q21">
        <v>9.9739874595000497</v>
      </c>
      <c r="R21">
        <v>42.4815782334381</v>
      </c>
      <c r="S21">
        <v>36.400827564125699</v>
      </c>
      <c r="T21">
        <v>11.391861362325301</v>
      </c>
      <c r="U21">
        <v>1.11127493241856</v>
      </c>
      <c r="V21">
        <v>3.6292260168680599</v>
      </c>
    </row>
    <row r="22" spans="1:22" x14ac:dyDescent="0.35">
      <c r="A22" s="2">
        <v>45289</v>
      </c>
      <c r="B22">
        <v>19.105526729166499</v>
      </c>
      <c r="C22">
        <v>28.701384891258201</v>
      </c>
      <c r="D22">
        <v>67.985442551343098</v>
      </c>
      <c r="E22">
        <v>30.8315679687197</v>
      </c>
      <c r="F22">
        <v>23.395588724849102</v>
      </c>
      <c r="G22">
        <v>2.96006707163236</v>
      </c>
      <c r="H22">
        <v>16.2486587557372</v>
      </c>
      <c r="I22">
        <v>19.098317327141999</v>
      </c>
      <c r="J22">
        <v>39.442384315645299</v>
      </c>
      <c r="K22">
        <v>41.551626905257997</v>
      </c>
      <c r="L22">
        <v>24.0472703068831</v>
      </c>
      <c r="M22">
        <v>33.920219282975701</v>
      </c>
      <c r="N22">
        <v>1.21959709581891</v>
      </c>
      <c r="O22">
        <v>54.657993614845203</v>
      </c>
      <c r="P22">
        <v>19.105526729166499</v>
      </c>
      <c r="Q22">
        <v>9.6132080179228101</v>
      </c>
      <c r="R22">
        <v>40.1816074670961</v>
      </c>
      <c r="S22">
        <v>47.716878299100998</v>
      </c>
      <c r="T22">
        <v>11.0560462161177</v>
      </c>
      <c r="U22">
        <v>0.88605729242881304</v>
      </c>
      <c r="V22">
        <v>3.01150373774813</v>
      </c>
    </row>
    <row r="24" spans="1:22" x14ac:dyDescent="0.35">
      <c r="B24" s="8">
        <f t="shared" ref="B24:V24" si="0">COUNT(B1:B22)</f>
        <v>19</v>
      </c>
      <c r="C24" s="8">
        <f t="shared" si="0"/>
        <v>20</v>
      </c>
      <c r="D24" s="8">
        <f t="shared" si="0"/>
        <v>20</v>
      </c>
      <c r="E24" s="8">
        <f t="shared" si="0"/>
        <v>20</v>
      </c>
      <c r="F24" s="8">
        <f t="shared" si="0"/>
        <v>20</v>
      </c>
      <c r="G24" s="8">
        <f t="shared" si="0"/>
        <v>15</v>
      </c>
      <c r="H24" s="8">
        <f t="shared" si="0"/>
        <v>20</v>
      </c>
      <c r="I24" s="8">
        <f t="shared" si="0"/>
        <v>20</v>
      </c>
      <c r="J24" s="8">
        <f t="shared" si="0"/>
        <v>20</v>
      </c>
      <c r="K24" s="8">
        <f t="shared" si="0"/>
        <v>20</v>
      </c>
      <c r="L24" s="8">
        <f t="shared" si="0"/>
        <v>20</v>
      </c>
      <c r="M24" s="8">
        <f t="shared" si="0"/>
        <v>20</v>
      </c>
      <c r="N24" s="8">
        <f t="shared" si="0"/>
        <v>20</v>
      </c>
      <c r="O24" s="8">
        <f t="shared" si="0"/>
        <v>20</v>
      </c>
      <c r="P24" s="8">
        <f t="shared" si="0"/>
        <v>19</v>
      </c>
      <c r="Q24" s="8">
        <f t="shared" si="0"/>
        <v>18</v>
      </c>
      <c r="R24" s="8">
        <f t="shared" si="0"/>
        <v>20</v>
      </c>
      <c r="S24" s="8">
        <f t="shared" si="0"/>
        <v>20</v>
      </c>
      <c r="T24" s="8">
        <f t="shared" si="0"/>
        <v>18</v>
      </c>
      <c r="U24" s="8">
        <f t="shared" si="0"/>
        <v>15</v>
      </c>
      <c r="V24" s="8">
        <f t="shared" si="0"/>
        <v>17</v>
      </c>
    </row>
    <row r="26" spans="1:22" x14ac:dyDescent="0.35">
      <c r="A26" t="s">
        <v>90</v>
      </c>
      <c r="B26" s="50" cm="1">
        <f t="array" ref="B26">(B22/INDEX(B3:B22,MATCH(TRUE,INDEX(ISNUMBER(B3:B22),0),0)))^(1/B24)-1</f>
        <v>7.2152115954511764E-2</v>
      </c>
      <c r="C26" s="50" cm="1">
        <f t="array" ref="C26">(C22/INDEX(C3:C22,MATCH(TRUE,INDEX(ISNUMBER(C3:C22),0),0)))^(1/C24)-1</f>
        <v>3.8685246344349222E-2</v>
      </c>
      <c r="D26" s="50" cm="1">
        <f t="array" ref="D26">(D22/INDEX(D3:D22,MATCH(TRUE,INDEX(ISNUMBER(D3:D22),0),0)))^(1/D24)-1</f>
        <v>4.2932911182906208E-2</v>
      </c>
      <c r="E26" s="50" cm="1">
        <f t="array" ref="E26">(E22/INDEX(E3:E22,MATCH(TRUE,INDEX(ISNUMBER(E3:E22),0),0)))^(1/E24)-1</f>
        <v>6.5968962435704714E-2</v>
      </c>
      <c r="F26" s="50" cm="1">
        <f t="array" ref="F26">(F22/INDEX(F3:F22,MATCH(TRUE,INDEX(ISNUMBER(F3:F22),0),0)))^(1/F24)-1</f>
        <v>3.6620331475524681E-2</v>
      </c>
      <c r="G26" s="50" cm="1">
        <f t="array" ref="G26">(G22/INDEX(G3:G22,MATCH(TRUE,INDEX(ISNUMBER(G3:G22),0),0)))^(1/G24)-1</f>
        <v>1.6222354296116626E-2</v>
      </c>
      <c r="H26" s="50" cm="1">
        <f t="array" ref="H26">(H22/INDEX(H3:H22,MATCH(TRUE,INDEX(ISNUMBER(H3:H22),0),0)))^(1/H24)-1</f>
        <v>2.3804408873769667E-2</v>
      </c>
      <c r="I26" s="50" cm="1">
        <f t="array" ref="I26">(I22/INDEX(I3:I22,MATCH(TRUE,INDEX(ISNUMBER(I3:I22),0),0)))^(1/I24)-1</f>
        <v>3.7646116662512163E-2</v>
      </c>
      <c r="J26" s="50" cm="1">
        <f t="array" ref="J26">(J22/INDEX(J3:J22,MATCH(TRUE,INDEX(ISNUMBER(J3:J22),0),0)))^(1/J24)-1</f>
        <v>5.8038772053721877E-2</v>
      </c>
      <c r="K26" s="50" cm="1">
        <f t="array" ref="K26">(K22/INDEX(K3:K22,MATCH(TRUE,INDEX(ISNUMBER(K3:K22),0),0)))^(1/K24)-1</f>
        <v>2.4388236937695096E-2</v>
      </c>
      <c r="L26" s="50" cm="1">
        <f t="array" ref="L26">(L22/INDEX(L3:L22,MATCH(TRUE,INDEX(ISNUMBER(L3:L22),0),0)))^(1/L24)-1</f>
        <v>2.0697122347511643E-2</v>
      </c>
      <c r="M26" s="50" cm="1">
        <f t="array" ref="M26">(M22/INDEX(M3:M22,MATCH(TRUE,INDEX(ISNUMBER(M3:M22),0),0)))^(1/M24)-1</f>
        <v>2.384197868685578E-2</v>
      </c>
      <c r="N26" s="50" cm="1">
        <f t="array" ref="N26">(N22/INDEX(N3:N22,MATCH(TRUE,INDEX(ISNUMBER(N3:N22),0),0)))^(1/N24)-1</f>
        <v>-9.9977006807554725E-2</v>
      </c>
      <c r="O26" s="50" cm="1">
        <f t="array" ref="O26">(O22/INDEX(O3:O22,MATCH(TRUE,INDEX(ISNUMBER(O3:O22),0),0)))^(1/O24)-1</f>
        <v>6.0124105113710025E-2</v>
      </c>
      <c r="P26" s="50" cm="1">
        <f t="array" ref="P26">(P22/INDEX(P3:P22,MATCH(TRUE,INDEX(ISNUMBER(P3:P22),0),0)))^(1/P24)-1</f>
        <v>7.2152115954511764E-2</v>
      </c>
      <c r="Q26" s="50" cm="1">
        <f t="array" ref="Q26">(Q22/INDEX(Q3:Q22,MATCH(TRUE,INDEX(ISNUMBER(Q3:Q22),0),0)))^(1/Q24)-1</f>
        <v>8.8740466700483189E-3</v>
      </c>
      <c r="R26" s="50" cm="1">
        <f t="array" ref="R26">(R22/INDEX(R3:R22,MATCH(TRUE,INDEX(ISNUMBER(R3:R22),0),0)))^(1/R24)-1</f>
        <v>1.2617045604024435E-2</v>
      </c>
      <c r="S26" s="50" cm="1">
        <f t="array" ref="S26">(S22/INDEX(S3:S22,MATCH(TRUE,INDEX(ISNUMBER(S3:S22),0),0)))^(1/S24)-1</f>
        <v>8.2005715561249914E-2</v>
      </c>
      <c r="T26" s="50" cm="1">
        <f t="array" ref="T26">(T22/INDEX(T3:T22,MATCH(TRUE,INDEX(ISNUMBER(T3:T22),0),0)))^(1/T24)-1</f>
        <v>8.3481705833627906E-3</v>
      </c>
      <c r="U26" s="50" cm="1">
        <f t="array" ref="U26">(U22/INDEX(U3:U22,MATCH(TRUE,INDEX(ISNUMBER(U3:U22),0),0)))^(1/U24)-1</f>
        <v>-4.4922818595630631E-2</v>
      </c>
      <c r="V26" s="50" cm="1">
        <f t="array" ref="V26">(V22/INDEX(V3:V22,MATCH(TRUE,INDEX(ISNUMBER(V3:V22),0),0)))^(1/V24)-1</f>
        <v>-1.6026351247784176E-2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F7635-C0F8-4F42-A699-C7CDB2FB7F02}">
  <dimension ref="A1:X165"/>
  <sheetViews>
    <sheetView workbookViewId="0">
      <selection activeCell="B86" sqref="B86"/>
    </sheetView>
  </sheetViews>
  <sheetFormatPr defaultRowHeight="14.5" x14ac:dyDescent="0.35"/>
  <cols>
    <col min="1" max="1" width="15" customWidth="1"/>
    <col min="2" max="2" width="17.54296875" customWidth="1"/>
    <col min="3" max="3" width="16.1796875" customWidth="1"/>
    <col min="4" max="4" width="14" customWidth="1"/>
    <col min="5" max="5" width="14.54296875" customWidth="1"/>
    <col min="6" max="6" width="15.453125" style="114" customWidth="1"/>
    <col min="23" max="23" width="9.453125" customWidth="1"/>
  </cols>
  <sheetData>
    <row r="1" spans="1:24" ht="18.5" x14ac:dyDescent="0.45">
      <c r="A1" s="86" t="s">
        <v>569</v>
      </c>
      <c r="B1" s="87"/>
      <c r="C1" s="84"/>
      <c r="D1" s="84"/>
      <c r="E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</row>
    <row r="2" spans="1:24" x14ac:dyDescent="0.35">
      <c r="A2" s="84"/>
      <c r="B2" s="87"/>
      <c r="C2" s="84"/>
      <c r="D2" s="84"/>
      <c r="E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</row>
    <row r="3" spans="1:24" ht="21" x14ac:dyDescent="0.5">
      <c r="A3" s="88" t="s">
        <v>740</v>
      </c>
      <c r="B3" s="89"/>
      <c r="C3" s="84"/>
      <c r="D3" s="84"/>
      <c r="E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</row>
    <row r="4" spans="1:24" x14ac:dyDescent="0.35">
      <c r="A4" s="106" t="s">
        <v>570</v>
      </c>
      <c r="B4" s="89"/>
      <c r="C4" s="84"/>
      <c r="D4" s="84"/>
      <c r="E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</row>
    <row r="5" spans="1:24" x14ac:dyDescent="0.35">
      <c r="A5" s="84"/>
      <c r="B5" s="87"/>
      <c r="C5" s="84"/>
      <c r="D5" s="84"/>
      <c r="E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</row>
    <row r="6" spans="1:24" x14ac:dyDescent="0.35">
      <c r="A6" s="96"/>
      <c r="B6" s="99"/>
      <c r="C6" s="84"/>
      <c r="D6" s="84"/>
      <c r="E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</row>
    <row r="7" spans="1:24" x14ac:dyDescent="0.35">
      <c r="A7" s="216"/>
      <c r="B7" s="216"/>
      <c r="C7" s="84"/>
      <c r="D7" s="84"/>
      <c r="E7" s="84"/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</row>
    <row r="8" spans="1:24" x14ac:dyDescent="0.35">
      <c r="A8" s="104"/>
      <c r="B8" s="104"/>
      <c r="C8" s="217" t="s">
        <v>571</v>
      </c>
      <c r="D8" s="218"/>
      <c r="E8" s="219"/>
      <c r="G8" s="84"/>
      <c r="H8" s="84"/>
      <c r="I8" s="84"/>
      <c r="J8" s="84"/>
      <c r="K8" s="84"/>
      <c r="L8" s="217" t="s">
        <v>572</v>
      </c>
      <c r="M8" s="218"/>
      <c r="N8" s="218"/>
      <c r="O8" s="218"/>
      <c r="P8" s="218"/>
      <c r="Q8" s="218"/>
      <c r="R8" s="218"/>
      <c r="S8" s="218"/>
      <c r="T8" s="218"/>
      <c r="U8" s="218"/>
      <c r="V8" s="219"/>
    </row>
    <row r="9" spans="1:24" ht="43.5" x14ac:dyDescent="0.35">
      <c r="A9" s="90" t="s">
        <v>573</v>
      </c>
      <c r="B9" s="90" t="s">
        <v>574</v>
      </c>
      <c r="C9" s="108" t="s">
        <v>575</v>
      </c>
      <c r="D9" s="109" t="s">
        <v>576</v>
      </c>
      <c r="E9" s="110" t="s">
        <v>577</v>
      </c>
      <c r="F9" s="114" t="s">
        <v>745</v>
      </c>
      <c r="G9" s="100" t="s">
        <v>741</v>
      </c>
      <c r="H9" s="102" t="s">
        <v>742</v>
      </c>
      <c r="I9" s="102" t="s">
        <v>743</v>
      </c>
      <c r="J9" s="101" t="s">
        <v>744</v>
      </c>
      <c r="K9" s="103"/>
      <c r="L9" s="113">
        <v>2012</v>
      </c>
      <c r="M9" s="91">
        <v>2013</v>
      </c>
      <c r="N9" s="91">
        <v>2014</v>
      </c>
      <c r="O9" s="91">
        <v>2015</v>
      </c>
      <c r="P9" s="91">
        <v>2016</v>
      </c>
      <c r="Q9" s="91">
        <v>2017</v>
      </c>
      <c r="R9" s="91">
        <v>2018</v>
      </c>
      <c r="S9" s="91">
        <v>2019</v>
      </c>
      <c r="T9" s="91">
        <v>2020</v>
      </c>
      <c r="U9" s="91">
        <v>2021</v>
      </c>
      <c r="V9" s="92">
        <v>2022</v>
      </c>
      <c r="W9" s="101" t="s">
        <v>751</v>
      </c>
      <c r="X9" s="101" t="s">
        <v>752</v>
      </c>
    </row>
    <row r="10" spans="1:24" x14ac:dyDescent="0.35">
      <c r="A10" s="85" t="s">
        <v>578</v>
      </c>
      <c r="B10" s="85" t="s">
        <v>579</v>
      </c>
      <c r="C10" s="93">
        <v>-6.330015897488761</v>
      </c>
      <c r="D10" s="94">
        <v>-1.9803203632740796</v>
      </c>
      <c r="E10" s="95">
        <v>1.4438839505667156</v>
      </c>
      <c r="G10" s="107" t="s">
        <v>580</v>
      </c>
      <c r="H10" s="105">
        <v>34.781666666666666</v>
      </c>
      <c r="I10" s="97">
        <v>154</v>
      </c>
      <c r="J10" s="98">
        <v>32</v>
      </c>
      <c r="K10" s="85"/>
      <c r="L10" s="93">
        <v>19.865459911417584</v>
      </c>
      <c r="M10" s="94">
        <v>9.8957883924851959</v>
      </c>
      <c r="N10" s="94">
        <v>6.5854081038949879</v>
      </c>
      <c r="O10" s="94">
        <v>0.98799999999999999</v>
      </c>
      <c r="P10" s="94">
        <v>2.1640000000000001</v>
      </c>
      <c r="Q10" s="94">
        <v>2.6469999999999998</v>
      </c>
      <c r="R10" s="94">
        <v>1.1890000000000001</v>
      </c>
      <c r="S10" s="94">
        <v>3.9119999999999999</v>
      </c>
      <c r="T10" s="94">
        <v>-2.351</v>
      </c>
      <c r="U10" s="94">
        <v>-2.4</v>
      </c>
      <c r="V10" s="95">
        <v>-5</v>
      </c>
      <c r="W10" s="95">
        <f>AVERAGE(D10,E10)</f>
        <v>-0.26821820635368199</v>
      </c>
    </row>
    <row r="11" spans="1:24" x14ac:dyDescent="0.35">
      <c r="A11" s="85" t="s">
        <v>227</v>
      </c>
      <c r="B11" s="85" t="s">
        <v>581</v>
      </c>
      <c r="C11" s="93">
        <v>2.8369230771995602</v>
      </c>
      <c r="D11" s="94">
        <v>2.527708680261509</v>
      </c>
      <c r="E11" s="95">
        <v>2.499335307066497</v>
      </c>
      <c r="G11" s="107" t="s">
        <v>401</v>
      </c>
      <c r="H11" s="105">
        <v>71.94876523650197</v>
      </c>
      <c r="I11" s="97">
        <v>80</v>
      </c>
      <c r="J11" s="98">
        <v>40</v>
      </c>
      <c r="K11" s="85"/>
      <c r="L11" s="93">
        <v>1.4329514555018943</v>
      </c>
      <c r="M11" s="94">
        <v>1.0096624423848639</v>
      </c>
      <c r="N11" s="94">
        <v>1.7987489151280414</v>
      </c>
      <c r="O11" s="94">
        <v>2.2189999999999999</v>
      </c>
      <c r="P11" s="94">
        <v>3.3149999999999999</v>
      </c>
      <c r="Q11" s="94">
        <v>3.802</v>
      </c>
      <c r="R11" s="94">
        <v>4.0190000000000001</v>
      </c>
      <c r="S11" s="94">
        <v>2.0880000000000001</v>
      </c>
      <c r="T11" s="94">
        <v>-3.4820000000000002</v>
      </c>
      <c r="U11" s="94">
        <v>8.516</v>
      </c>
      <c r="V11" s="95">
        <v>3.74</v>
      </c>
      <c r="W11" s="95">
        <f t="shared" ref="W11:W74" si="0">AVERAGE(D11,E11)</f>
        <v>2.513521993664003</v>
      </c>
    </row>
    <row r="12" spans="1:24" x14ac:dyDescent="0.35">
      <c r="A12" s="85" t="s">
        <v>582</v>
      </c>
      <c r="B12" s="85" t="s">
        <v>583</v>
      </c>
      <c r="C12" s="93">
        <v>0.36545353196819619</v>
      </c>
      <c r="D12" s="94">
        <v>0.98216884294510809</v>
      </c>
      <c r="E12" s="95">
        <v>1.9643097765769557</v>
      </c>
      <c r="G12" s="107" t="s">
        <v>584</v>
      </c>
      <c r="H12" s="105">
        <v>77.429986450518911</v>
      </c>
      <c r="I12" s="97">
        <v>59</v>
      </c>
      <c r="J12" s="98">
        <v>2</v>
      </c>
      <c r="K12" s="85"/>
      <c r="L12" s="93">
        <v>3.3999999982054412</v>
      </c>
      <c r="M12" s="94">
        <v>2.8000000002529002</v>
      </c>
      <c r="N12" s="94">
        <v>3.8000000007790273</v>
      </c>
      <c r="O12" s="94">
        <v>3.7</v>
      </c>
      <c r="P12" s="94">
        <v>3.2</v>
      </c>
      <c r="Q12" s="94">
        <v>1.4</v>
      </c>
      <c r="R12" s="94">
        <v>1.2</v>
      </c>
      <c r="S12" s="94">
        <v>1</v>
      </c>
      <c r="T12" s="94">
        <v>-5.0999999999999996</v>
      </c>
      <c r="U12" s="94">
        <v>3.4</v>
      </c>
      <c r="V12" s="95">
        <v>2.931</v>
      </c>
      <c r="W12" s="95">
        <f t="shared" si="0"/>
        <v>1.4732393097610319</v>
      </c>
    </row>
    <row r="13" spans="1:24" x14ac:dyDescent="0.35">
      <c r="A13" s="85" t="s">
        <v>582</v>
      </c>
      <c r="B13" s="85" t="s">
        <v>585</v>
      </c>
      <c r="C13" s="93">
        <v>-0.62057485054567429</v>
      </c>
      <c r="D13" s="94">
        <v>-0.7759815069387388</v>
      </c>
      <c r="E13" s="95">
        <v>0.38358743648301274</v>
      </c>
      <c r="G13" s="107" t="s">
        <v>580</v>
      </c>
      <c r="H13" s="105">
        <v>43.142397643089645</v>
      </c>
      <c r="I13" s="97">
        <v>147</v>
      </c>
      <c r="J13" s="98">
        <v>42</v>
      </c>
      <c r="K13" s="85"/>
      <c r="L13" s="93">
        <v>8.5421473366219605</v>
      </c>
      <c r="M13" s="94">
        <v>4.9545904703972692</v>
      </c>
      <c r="N13" s="94">
        <v>4.8226255512268246</v>
      </c>
      <c r="O13" s="94">
        <v>0.94399999999999995</v>
      </c>
      <c r="P13" s="94">
        <v>-2.58</v>
      </c>
      <c r="Q13" s="94">
        <v>-0.15</v>
      </c>
      <c r="R13" s="94">
        <v>-1.3160000000000001</v>
      </c>
      <c r="S13" s="94">
        <v>-0.70199999999999996</v>
      </c>
      <c r="T13" s="94">
        <v>-5.6379999999999999</v>
      </c>
      <c r="U13" s="94">
        <v>1.0920000000000001</v>
      </c>
      <c r="V13" s="95">
        <v>2.8410000000000002</v>
      </c>
      <c r="W13" s="95">
        <f t="shared" si="0"/>
        <v>-0.19619703522786303</v>
      </c>
    </row>
    <row r="14" spans="1:24" x14ac:dyDescent="0.35">
      <c r="A14" s="85" t="s">
        <v>586</v>
      </c>
      <c r="B14" s="85" t="s">
        <v>587</v>
      </c>
      <c r="C14" s="93">
        <v>1.5213184649000233</v>
      </c>
      <c r="D14" s="94">
        <v>2.4231703477095579E-4</v>
      </c>
      <c r="E14" s="95">
        <v>0.30638889849419204</v>
      </c>
      <c r="G14" s="107" t="s">
        <v>424</v>
      </c>
      <c r="H14" s="105">
        <v>63.902477118742887</v>
      </c>
      <c r="I14" s="97">
        <v>116</v>
      </c>
      <c r="J14" s="98">
        <v>16</v>
      </c>
      <c r="K14" s="85"/>
      <c r="L14" s="93">
        <v>-1.0264204544320839</v>
      </c>
      <c r="M14" s="94">
        <v>2.4053237807943506</v>
      </c>
      <c r="N14" s="94">
        <v>-2.5126153208139428</v>
      </c>
      <c r="O14" s="94">
        <v>2.7309999999999999</v>
      </c>
      <c r="P14" s="94">
        <v>-2.08</v>
      </c>
      <c r="Q14" s="94">
        <v>2.819</v>
      </c>
      <c r="R14" s="94">
        <v>-2.617</v>
      </c>
      <c r="S14" s="94">
        <v>-2.0009999999999999</v>
      </c>
      <c r="T14" s="94">
        <v>-9.9429999999999996</v>
      </c>
      <c r="U14" s="94">
        <v>10.398</v>
      </c>
      <c r="V14" s="95">
        <v>5.2430000000000003</v>
      </c>
      <c r="W14" s="95">
        <f t="shared" si="0"/>
        <v>0.1533156077644815</v>
      </c>
    </row>
    <row r="15" spans="1:24" x14ac:dyDescent="0.35">
      <c r="A15" s="85" t="s">
        <v>227</v>
      </c>
      <c r="B15" s="85" t="s">
        <v>588</v>
      </c>
      <c r="C15" s="93">
        <v>3.3694630969417716</v>
      </c>
      <c r="D15" s="94">
        <v>4.5685193344935815</v>
      </c>
      <c r="E15" s="95">
        <v>4.0499977792169295</v>
      </c>
      <c r="G15" s="107" t="s">
        <v>584</v>
      </c>
      <c r="H15" s="105">
        <v>81.866330149150926</v>
      </c>
      <c r="I15" s="97">
        <v>42</v>
      </c>
      <c r="J15" s="98">
        <v>28</v>
      </c>
      <c r="K15" s="85"/>
      <c r="L15" s="93">
        <v>7.200000000964871</v>
      </c>
      <c r="M15" s="94">
        <v>3.2999999999999674</v>
      </c>
      <c r="N15" s="94">
        <v>3.6000000005899464</v>
      </c>
      <c r="O15" s="94">
        <v>3.254</v>
      </c>
      <c r="P15" s="94">
        <v>0.19500000000000001</v>
      </c>
      <c r="Q15" s="94">
        <v>7.5179999999999998</v>
      </c>
      <c r="R15" s="94">
        <v>5.2249999999999996</v>
      </c>
      <c r="S15" s="94">
        <v>7.6310000000000002</v>
      </c>
      <c r="T15" s="94">
        <v>-7.1509999999999998</v>
      </c>
      <c r="U15" s="94">
        <v>5.6840000000000002</v>
      </c>
      <c r="V15" s="95">
        <v>12.603999999999999</v>
      </c>
      <c r="W15" s="95">
        <f t="shared" si="0"/>
        <v>4.3092585568552551</v>
      </c>
    </row>
    <row r="16" spans="1:24" x14ac:dyDescent="0.35">
      <c r="A16" s="85" t="s">
        <v>578</v>
      </c>
      <c r="B16" s="85" t="s">
        <v>589</v>
      </c>
      <c r="C16" s="93">
        <v>1.9372779726990919</v>
      </c>
      <c r="D16" s="94">
        <v>1.9542949107595797</v>
      </c>
      <c r="E16" s="95">
        <v>2.221593328352145</v>
      </c>
      <c r="G16" s="107" t="s">
        <v>417</v>
      </c>
      <c r="H16" s="105">
        <v>96.36744549025839</v>
      </c>
      <c r="I16" s="97">
        <v>11</v>
      </c>
      <c r="J16" s="98">
        <v>3</v>
      </c>
      <c r="K16" s="85"/>
      <c r="L16" s="93">
        <v>3.9181617722068416</v>
      </c>
      <c r="M16" s="94">
        <v>2.5848751108311681</v>
      </c>
      <c r="N16" s="94">
        <v>2.5331154467594699</v>
      </c>
      <c r="O16" s="94">
        <v>2.2829999999999999</v>
      </c>
      <c r="P16" s="94">
        <v>2.6909999999999998</v>
      </c>
      <c r="Q16" s="94">
        <v>2.383</v>
      </c>
      <c r="R16" s="94">
        <v>2.8149999999999999</v>
      </c>
      <c r="S16" s="94">
        <v>1.9430000000000001</v>
      </c>
      <c r="T16" s="94">
        <v>-1.8140000000000001</v>
      </c>
      <c r="U16" s="94">
        <v>5.1959999999999997</v>
      </c>
      <c r="V16" s="95">
        <v>3.661</v>
      </c>
      <c r="W16" s="95">
        <f t="shared" si="0"/>
        <v>2.0879441195558623</v>
      </c>
    </row>
    <row r="17" spans="1:23" x14ac:dyDescent="0.35">
      <c r="A17" s="85" t="s">
        <v>227</v>
      </c>
      <c r="B17" s="85" t="s">
        <v>590</v>
      </c>
      <c r="C17" s="93">
        <v>0.89080434606740866</v>
      </c>
      <c r="D17" s="94">
        <v>1.1485693717847134</v>
      </c>
      <c r="E17" s="95">
        <v>1.1982825816158282</v>
      </c>
      <c r="G17" s="107" t="s">
        <v>417</v>
      </c>
      <c r="H17" s="105">
        <v>95.913594407477049</v>
      </c>
      <c r="I17" s="97">
        <v>15</v>
      </c>
      <c r="J17" s="98">
        <v>10</v>
      </c>
      <c r="K17" s="85"/>
      <c r="L17" s="93">
        <v>0.68044557681670037</v>
      </c>
      <c r="M17" s="94">
        <v>2.5504712197222973E-2</v>
      </c>
      <c r="N17" s="94">
        <v>0.66127284885259119</v>
      </c>
      <c r="O17" s="94">
        <v>1.0149999999999999</v>
      </c>
      <c r="P17" s="94">
        <v>1.9890000000000001</v>
      </c>
      <c r="Q17" s="94">
        <v>2.2589999999999999</v>
      </c>
      <c r="R17" s="94">
        <v>2.4249999999999998</v>
      </c>
      <c r="S17" s="94">
        <v>1.5169999999999999</v>
      </c>
      <c r="T17" s="94">
        <v>-6.4539999999999997</v>
      </c>
      <c r="U17" s="94">
        <v>4.5570000000000004</v>
      </c>
      <c r="V17" s="95">
        <v>4.9969999999999999</v>
      </c>
      <c r="W17" s="95">
        <f t="shared" si="0"/>
        <v>1.1734259767002708</v>
      </c>
    </row>
    <row r="18" spans="1:23" x14ac:dyDescent="0.35">
      <c r="A18" s="85" t="s">
        <v>578</v>
      </c>
      <c r="B18" s="85" t="s">
        <v>591</v>
      </c>
      <c r="C18" s="93">
        <v>1.8824891899037688</v>
      </c>
      <c r="D18" s="94">
        <v>1.9289874111129146</v>
      </c>
      <c r="E18" s="95">
        <v>1.6182050869221642</v>
      </c>
      <c r="G18" s="107" t="s">
        <v>424</v>
      </c>
      <c r="H18" s="105">
        <v>66.732349416312132</v>
      </c>
      <c r="I18" s="97">
        <v>106</v>
      </c>
      <c r="J18" s="98">
        <v>20</v>
      </c>
      <c r="K18" s="85"/>
      <c r="L18" s="93">
        <v>2.1652394301296014</v>
      </c>
      <c r="M18" s="94">
        <v>5.8098009451315624</v>
      </c>
      <c r="N18" s="94">
        <v>2.7505070296654104</v>
      </c>
      <c r="O18" s="94">
        <v>1.05</v>
      </c>
      <c r="P18" s="94">
        <v>-3.0640000000000001</v>
      </c>
      <c r="Q18" s="94">
        <v>0.154</v>
      </c>
      <c r="R18" s="94">
        <v>1.5</v>
      </c>
      <c r="S18" s="94">
        <v>2.48</v>
      </c>
      <c r="T18" s="94">
        <v>-4.1989999999999998</v>
      </c>
      <c r="U18" s="94">
        <v>5.6</v>
      </c>
      <c r="V18" s="95">
        <v>4.6459999999999999</v>
      </c>
      <c r="W18" s="95">
        <f t="shared" si="0"/>
        <v>1.7735962490175394</v>
      </c>
    </row>
    <row r="19" spans="1:23" x14ac:dyDescent="0.35">
      <c r="A19" s="85" t="s">
        <v>586</v>
      </c>
      <c r="B19" s="85" t="s">
        <v>592</v>
      </c>
      <c r="C19" s="93">
        <v>-1.3025041762945944</v>
      </c>
      <c r="D19" s="94">
        <v>-5.1450420089638182E-2</v>
      </c>
      <c r="E19" s="95">
        <v>0.16369977541730307</v>
      </c>
      <c r="G19" s="107" t="s">
        <v>584</v>
      </c>
      <c r="H19" s="105">
        <v>79.378460082017611</v>
      </c>
      <c r="I19" s="97">
        <v>54</v>
      </c>
      <c r="J19" s="98">
        <v>8</v>
      </c>
      <c r="K19" s="85"/>
      <c r="L19" s="93">
        <v>3.0868791768834938</v>
      </c>
      <c r="M19" s="94">
        <v>-3.5838746627962172</v>
      </c>
      <c r="N19" s="94">
        <v>2.2881473175630553</v>
      </c>
      <c r="O19" s="94">
        <v>0.997</v>
      </c>
      <c r="P19" s="94">
        <v>-0.85799999999999998</v>
      </c>
      <c r="Q19" s="94">
        <v>3.05</v>
      </c>
      <c r="R19" s="94">
        <v>1.831</v>
      </c>
      <c r="S19" s="94">
        <v>1.8959999999999999</v>
      </c>
      <c r="T19" s="94">
        <v>-23.823</v>
      </c>
      <c r="U19" s="94">
        <v>13.72</v>
      </c>
      <c r="V19" s="95">
        <v>10.983000000000001</v>
      </c>
      <c r="W19" s="95">
        <f t="shared" si="0"/>
        <v>5.6124677663832445E-2</v>
      </c>
    </row>
    <row r="20" spans="1:23" x14ac:dyDescent="0.35">
      <c r="A20" s="85" t="s">
        <v>593</v>
      </c>
      <c r="B20" s="85" t="s">
        <v>594</v>
      </c>
      <c r="C20" s="93">
        <v>0.41671802598486352</v>
      </c>
      <c r="D20" s="94">
        <v>1.1307360567982316</v>
      </c>
      <c r="E20" s="95">
        <v>2.5452347834856504</v>
      </c>
      <c r="G20" s="107" t="s">
        <v>584</v>
      </c>
      <c r="H20" s="105">
        <v>77.128033983685327</v>
      </c>
      <c r="I20" s="97">
        <v>60</v>
      </c>
      <c r="J20" s="98">
        <v>7</v>
      </c>
      <c r="K20" s="85"/>
      <c r="L20" s="93">
        <v>3.7281084304601642</v>
      </c>
      <c r="M20" s="94">
        <v>5.41683981012069</v>
      </c>
      <c r="N20" s="94">
        <v>4.3503908525296939</v>
      </c>
      <c r="O20" s="94">
        <v>2.4849999999999999</v>
      </c>
      <c r="P20" s="94">
        <v>3.5579999999999998</v>
      </c>
      <c r="Q20" s="94">
        <v>4.2919999999999998</v>
      </c>
      <c r="R20" s="94">
        <v>2.11</v>
      </c>
      <c r="S20" s="94">
        <v>2.1669999999999998</v>
      </c>
      <c r="T20" s="94">
        <v>-4.6449999999999996</v>
      </c>
      <c r="U20" s="94">
        <v>2.67</v>
      </c>
      <c r="V20" s="95">
        <v>4.194</v>
      </c>
      <c r="W20" s="95">
        <f t="shared" si="0"/>
        <v>1.837985420141941</v>
      </c>
    </row>
    <row r="21" spans="1:23" x14ac:dyDescent="0.35">
      <c r="A21" s="85" t="s">
        <v>578</v>
      </c>
      <c r="B21" s="85" t="s">
        <v>595</v>
      </c>
      <c r="C21" s="93">
        <v>8.4780836054535911</v>
      </c>
      <c r="D21" s="94">
        <v>9.4495577005361255</v>
      </c>
      <c r="E21" s="95">
        <v>9.0902336923363691</v>
      </c>
      <c r="G21" s="107" t="s">
        <v>424</v>
      </c>
      <c r="H21" s="105">
        <v>59.78425810407569</v>
      </c>
      <c r="I21" s="97">
        <v>125</v>
      </c>
      <c r="J21" s="98">
        <v>25</v>
      </c>
      <c r="K21" s="85"/>
      <c r="L21" s="93">
        <v>15.458182784890836</v>
      </c>
      <c r="M21" s="94">
        <v>8.997951209804727</v>
      </c>
      <c r="N21" s="94">
        <v>9.1371359215878698</v>
      </c>
      <c r="O21" s="94">
        <v>6.5529999999999999</v>
      </c>
      <c r="P21" s="94">
        <v>7.1139999999999999</v>
      </c>
      <c r="Q21" s="94">
        <v>6.59</v>
      </c>
      <c r="R21" s="94">
        <v>7.319</v>
      </c>
      <c r="S21" s="94">
        <v>7.8819999999999997</v>
      </c>
      <c r="T21" s="94">
        <v>3.448</v>
      </c>
      <c r="U21" s="94">
        <v>6.9390000000000001</v>
      </c>
      <c r="V21" s="95">
        <v>7.1</v>
      </c>
      <c r="W21" s="95">
        <f t="shared" si="0"/>
        <v>9.2698956964362473</v>
      </c>
    </row>
    <row r="22" spans="1:23" x14ac:dyDescent="0.35">
      <c r="A22" s="85" t="s">
        <v>227</v>
      </c>
      <c r="B22" s="85" t="s">
        <v>596</v>
      </c>
      <c r="C22" s="93">
        <v>-1.0891270418666776</v>
      </c>
      <c r="D22" s="94">
        <v>0.24141365794498881</v>
      </c>
      <c r="E22" s="95">
        <v>-4.7343951578571186E-3</v>
      </c>
      <c r="G22" s="107" t="s">
        <v>584</v>
      </c>
      <c r="H22" s="105">
        <v>78.939379492547943</v>
      </c>
      <c r="I22" s="97">
        <v>55</v>
      </c>
      <c r="J22" s="98">
        <v>34</v>
      </c>
      <c r="K22" s="85"/>
      <c r="L22" s="93">
        <v>1.6871355364283958</v>
      </c>
      <c r="M22" s="94">
        <v>1.0034708408564619</v>
      </c>
      <c r="N22" s="94">
        <v>1.7263848541700804</v>
      </c>
      <c r="O22" s="94">
        <v>-3.83</v>
      </c>
      <c r="P22" s="94">
        <v>-2.536</v>
      </c>
      <c r="Q22" s="94">
        <v>2.5409999999999999</v>
      </c>
      <c r="R22" s="94">
        <v>3.1379999999999999</v>
      </c>
      <c r="S22" s="94">
        <v>1.446</v>
      </c>
      <c r="T22" s="94">
        <v>-0.67300000000000004</v>
      </c>
      <c r="U22" s="94">
        <v>2.2730000000000001</v>
      </c>
      <c r="V22" s="95">
        <v>-4.7409999999999997</v>
      </c>
      <c r="W22" s="95">
        <f t="shared" si="0"/>
        <v>0.11833963139356585</v>
      </c>
    </row>
    <row r="23" spans="1:23" x14ac:dyDescent="0.35">
      <c r="A23" s="85" t="s">
        <v>227</v>
      </c>
      <c r="B23" s="85" t="s">
        <v>597</v>
      </c>
      <c r="C23" s="93">
        <v>1.1690569098094628</v>
      </c>
      <c r="D23" s="94">
        <v>1.3937649310878042</v>
      </c>
      <c r="E23" s="95">
        <v>1.4413818728578276</v>
      </c>
      <c r="G23" s="107" t="s">
        <v>417</v>
      </c>
      <c r="H23" s="105">
        <v>93.483251457156101</v>
      </c>
      <c r="I23" s="97">
        <v>21</v>
      </c>
      <c r="J23" s="98">
        <v>14</v>
      </c>
      <c r="K23" s="85"/>
      <c r="L23" s="93">
        <v>0.73922990508162567</v>
      </c>
      <c r="M23" s="94">
        <v>0.45922805011605522</v>
      </c>
      <c r="N23" s="94">
        <v>1.578523229524472</v>
      </c>
      <c r="O23" s="94">
        <v>2.0409999999999999</v>
      </c>
      <c r="P23" s="94">
        <v>1.2669999999999999</v>
      </c>
      <c r="Q23" s="94">
        <v>1.62</v>
      </c>
      <c r="R23" s="94">
        <v>1.7929999999999999</v>
      </c>
      <c r="S23" s="94">
        <v>2.2410000000000001</v>
      </c>
      <c r="T23" s="94">
        <v>-5.3620000000000001</v>
      </c>
      <c r="U23" s="94">
        <v>6.1340000000000003</v>
      </c>
      <c r="V23" s="95">
        <v>3.0910000000000002</v>
      </c>
      <c r="W23" s="95">
        <f t="shared" si="0"/>
        <v>1.4175734019728159</v>
      </c>
    </row>
    <row r="24" spans="1:23" x14ac:dyDescent="0.35">
      <c r="A24" s="85" t="s">
        <v>582</v>
      </c>
      <c r="B24" s="85" t="s">
        <v>598</v>
      </c>
      <c r="C24" s="93">
        <v>5.666147255627263</v>
      </c>
      <c r="D24" s="94">
        <v>6.110859714036887</v>
      </c>
      <c r="E24" s="95">
        <v>5.477732246862832</v>
      </c>
      <c r="G24" s="107" t="s">
        <v>401</v>
      </c>
      <c r="H24" s="105">
        <v>73.01184037118577</v>
      </c>
      <c r="I24" s="97">
        <v>75</v>
      </c>
      <c r="J24" s="98">
        <v>7</v>
      </c>
      <c r="K24" s="85"/>
      <c r="L24" s="93">
        <v>4.811223315687994</v>
      </c>
      <c r="M24" s="94">
        <v>7.1914337214494379</v>
      </c>
      <c r="N24" s="94">
        <v>6.3576790979193039</v>
      </c>
      <c r="O24" s="94">
        <v>1.778</v>
      </c>
      <c r="P24" s="94">
        <v>3.34</v>
      </c>
      <c r="Q24" s="94">
        <v>5.6719999999999997</v>
      </c>
      <c r="R24" s="94">
        <v>6.6970000000000001</v>
      </c>
      <c r="S24" s="94">
        <v>6.8659999999999997</v>
      </c>
      <c r="T24" s="94">
        <v>3.8490000000000002</v>
      </c>
      <c r="U24" s="94">
        <v>7.1550000000000002</v>
      </c>
      <c r="V24" s="95">
        <v>6.0209999999999999</v>
      </c>
      <c r="W24" s="95">
        <f t="shared" si="0"/>
        <v>5.7942959804498599</v>
      </c>
    </row>
    <row r="25" spans="1:23" x14ac:dyDescent="0.35">
      <c r="A25" s="85" t="s">
        <v>578</v>
      </c>
      <c r="B25" s="85" t="s">
        <v>599</v>
      </c>
      <c r="C25" s="93">
        <v>-0.76587225840651918</v>
      </c>
      <c r="D25" s="94">
        <v>1.2676841708430198</v>
      </c>
      <c r="E25" s="95">
        <v>3.3347663550896245</v>
      </c>
      <c r="G25" s="107" t="s">
        <v>580</v>
      </c>
      <c r="H25" s="105">
        <v>55.154482190816807</v>
      </c>
      <c r="I25" s="97">
        <v>132</v>
      </c>
      <c r="J25" s="98">
        <v>28</v>
      </c>
      <c r="K25" s="85"/>
      <c r="L25" s="93">
        <v>5.1184008580053391</v>
      </c>
      <c r="M25" s="94">
        <v>2.1199726329821678</v>
      </c>
      <c r="N25" s="94">
        <v>5.7764956801372422</v>
      </c>
      <c r="O25" s="94">
        <v>6.2210000000000001</v>
      </c>
      <c r="P25" s="94">
        <v>7.4080000000000004</v>
      </c>
      <c r="Q25" s="94">
        <v>6.3220000000000001</v>
      </c>
      <c r="R25" s="94">
        <v>3.835</v>
      </c>
      <c r="S25" s="94">
        <v>4.4249999999999998</v>
      </c>
      <c r="T25" s="94">
        <v>-2.3479999999999999</v>
      </c>
      <c r="U25" s="94">
        <v>-3.3319999999999999</v>
      </c>
      <c r="V25" s="95">
        <v>4.3250000000000002</v>
      </c>
      <c r="W25" s="95">
        <f t="shared" si="0"/>
        <v>2.3012252629663221</v>
      </c>
    </row>
    <row r="26" spans="1:23" x14ac:dyDescent="0.35">
      <c r="A26" s="85" t="s">
        <v>586</v>
      </c>
      <c r="B26" s="85" t="s">
        <v>600</v>
      </c>
      <c r="C26" s="93">
        <v>-2.2304131763273283E-2</v>
      </c>
      <c r="D26" s="94">
        <v>1.2603639469641159</v>
      </c>
      <c r="E26" s="95">
        <v>3.1673454908146104</v>
      </c>
      <c r="G26" s="107" t="s">
        <v>580</v>
      </c>
      <c r="H26" s="105">
        <v>31.085526545532133</v>
      </c>
      <c r="I26" s="97">
        <v>155</v>
      </c>
      <c r="J26" s="98">
        <v>25</v>
      </c>
      <c r="K26" s="85"/>
      <c r="L26" s="93">
        <v>5.122274660983769</v>
      </c>
      <c r="M26" s="94">
        <v>6.7960117055974338</v>
      </c>
      <c r="N26" s="94">
        <v>5.4605671536850453</v>
      </c>
      <c r="O26" s="94">
        <v>4.8570000000000002</v>
      </c>
      <c r="P26" s="94">
        <v>4.2640000000000002</v>
      </c>
      <c r="Q26" s="94">
        <v>4.1950000000000003</v>
      </c>
      <c r="R26" s="94">
        <v>4.2240000000000002</v>
      </c>
      <c r="S26" s="94">
        <v>2.2170000000000001</v>
      </c>
      <c r="T26" s="94">
        <v>-8.7379999999999995</v>
      </c>
      <c r="U26" s="94">
        <v>6.1059999999999999</v>
      </c>
      <c r="V26" s="95">
        <v>3.2</v>
      </c>
      <c r="W26" s="95">
        <f t="shared" si="0"/>
        <v>2.2138547188893631</v>
      </c>
    </row>
    <row r="27" spans="1:23" x14ac:dyDescent="0.35">
      <c r="A27" s="85" t="s">
        <v>227</v>
      </c>
      <c r="B27" s="85" t="s">
        <v>601</v>
      </c>
      <c r="C27" s="93">
        <v>2.6460933550704002</v>
      </c>
      <c r="D27" s="94">
        <v>2.9046927076515017</v>
      </c>
      <c r="E27" s="95">
        <v>2.7421493700034771</v>
      </c>
      <c r="G27" s="107" t="s">
        <v>424</v>
      </c>
      <c r="H27" s="105">
        <v>66.414016463166035</v>
      </c>
      <c r="I27" s="97">
        <v>108</v>
      </c>
      <c r="J27" s="98">
        <v>41</v>
      </c>
      <c r="K27" s="85"/>
      <c r="L27" s="93">
        <v>-0.82183647421687545</v>
      </c>
      <c r="M27" s="94">
        <v>2.3498566632458062</v>
      </c>
      <c r="N27" s="94">
        <v>1.1538510920040257</v>
      </c>
      <c r="O27" s="94">
        <v>4.3140000000000001</v>
      </c>
      <c r="P27" s="94">
        <v>3.242</v>
      </c>
      <c r="Q27" s="94">
        <v>3.2440000000000002</v>
      </c>
      <c r="R27" s="94">
        <v>3.8290000000000002</v>
      </c>
      <c r="S27" s="94">
        <v>2.8860000000000001</v>
      </c>
      <c r="T27" s="94">
        <v>-3.0150000000000001</v>
      </c>
      <c r="U27" s="94">
        <v>7.3920000000000003</v>
      </c>
      <c r="V27" s="95">
        <v>3.8</v>
      </c>
      <c r="W27" s="95">
        <f t="shared" si="0"/>
        <v>2.8234210388274894</v>
      </c>
    </row>
    <row r="28" spans="1:23" x14ac:dyDescent="0.35">
      <c r="A28" s="85" t="s">
        <v>582</v>
      </c>
      <c r="B28" s="85" t="s">
        <v>602</v>
      </c>
      <c r="C28" s="93">
        <v>2.6588943634134665</v>
      </c>
      <c r="D28" s="94">
        <v>1.4503583241093798</v>
      </c>
      <c r="E28" s="95">
        <v>2.7752039527026096</v>
      </c>
      <c r="G28" s="107" t="s">
        <v>401</v>
      </c>
      <c r="H28" s="105">
        <v>74.531513757725932</v>
      </c>
      <c r="I28" s="97">
        <v>70</v>
      </c>
      <c r="J28" s="98">
        <v>6</v>
      </c>
      <c r="K28" s="85"/>
      <c r="L28" s="93">
        <v>4.4561672130978769</v>
      </c>
      <c r="M28" s="94">
        <v>11.343424252775241</v>
      </c>
      <c r="N28" s="94">
        <v>4.149289893135184</v>
      </c>
      <c r="O28" s="94">
        <v>-4.851</v>
      </c>
      <c r="P28" s="94">
        <v>7.202</v>
      </c>
      <c r="Q28" s="94">
        <v>4.1130000000000004</v>
      </c>
      <c r="R28" s="94">
        <v>4.1900000000000004</v>
      </c>
      <c r="S28" s="94">
        <v>3.0329999999999999</v>
      </c>
      <c r="T28" s="94">
        <v>-8.7260000000000009</v>
      </c>
      <c r="U28" s="94">
        <v>11.84</v>
      </c>
      <c r="V28" s="95">
        <v>6.4329999999999998</v>
      </c>
      <c r="W28" s="95">
        <f t="shared" si="0"/>
        <v>2.1127811384059947</v>
      </c>
    </row>
    <row r="29" spans="1:23" x14ac:dyDescent="0.35">
      <c r="A29" s="85" t="s">
        <v>586</v>
      </c>
      <c r="B29" s="85" t="s">
        <v>603</v>
      </c>
      <c r="C29" s="93">
        <v>1.146428167182445</v>
      </c>
      <c r="D29" s="94">
        <v>1.295085878975577</v>
      </c>
      <c r="E29" s="95">
        <v>0.42795301380476047</v>
      </c>
      <c r="G29" s="107" t="s">
        <v>584</v>
      </c>
      <c r="H29" s="105">
        <v>79.569249143394813</v>
      </c>
      <c r="I29" s="97">
        <v>51</v>
      </c>
      <c r="J29" s="98">
        <v>7</v>
      </c>
      <c r="K29" s="85"/>
      <c r="L29" s="93">
        <v>1.9211503183629988</v>
      </c>
      <c r="M29" s="94">
        <v>3.0048463050570873</v>
      </c>
      <c r="N29" s="94">
        <v>0.50395574024224987</v>
      </c>
      <c r="O29" s="94">
        <v>-3.5459999999999998</v>
      </c>
      <c r="P29" s="94">
        <v>-3.2759999999999998</v>
      </c>
      <c r="Q29" s="94">
        <v>1.323</v>
      </c>
      <c r="R29" s="94">
        <v>1.784</v>
      </c>
      <c r="S29" s="94">
        <v>1.2210000000000001</v>
      </c>
      <c r="T29" s="94">
        <v>-3.2770000000000001</v>
      </c>
      <c r="U29" s="94">
        <v>4.9889999999999999</v>
      </c>
      <c r="V29" s="95">
        <v>2.9009999999999998</v>
      </c>
      <c r="W29" s="95">
        <f t="shared" si="0"/>
        <v>0.86151944639016875</v>
      </c>
    </row>
    <row r="30" spans="1:23" x14ac:dyDescent="0.35">
      <c r="A30" s="85" t="s">
        <v>578</v>
      </c>
      <c r="B30" s="85" t="s">
        <v>604</v>
      </c>
      <c r="C30" s="93">
        <v>-0.66374440025495085</v>
      </c>
      <c r="D30" s="94">
        <v>0.37078358077795581</v>
      </c>
      <c r="E30" s="95">
        <v>-0.44114896551331606</v>
      </c>
      <c r="G30" s="107" t="s">
        <v>580</v>
      </c>
      <c r="H30" s="105">
        <v>47.581995606084838</v>
      </c>
      <c r="I30" s="97">
        <v>142</v>
      </c>
      <c r="J30" s="98">
        <v>30</v>
      </c>
      <c r="K30" s="85"/>
      <c r="L30" s="93">
        <v>0.91284167096442625</v>
      </c>
      <c r="M30" s="94">
        <v>-2.1260285174017546</v>
      </c>
      <c r="N30" s="94">
        <v>-2.5083525664456063</v>
      </c>
      <c r="O30" s="94">
        <v>-0.40500000000000003</v>
      </c>
      <c r="P30" s="94">
        <v>-2.4649999999999999</v>
      </c>
      <c r="Q30" s="94">
        <v>1.329</v>
      </c>
      <c r="R30" s="94">
        <v>5.1999999999999998E-2</v>
      </c>
      <c r="S30" s="94">
        <v>3.8690000000000002</v>
      </c>
      <c r="T30" s="94">
        <v>1.1339999999999999</v>
      </c>
      <c r="U30" s="94">
        <v>-1.591</v>
      </c>
      <c r="V30" s="95">
        <v>-1.51</v>
      </c>
      <c r="W30" s="95">
        <f t="shared" si="0"/>
        <v>-3.5182692367680124E-2</v>
      </c>
    </row>
    <row r="31" spans="1:23" x14ac:dyDescent="0.35">
      <c r="A31" s="85" t="s">
        <v>227</v>
      </c>
      <c r="B31" s="85" t="s">
        <v>605</v>
      </c>
      <c r="C31" s="93">
        <v>2.2325090532704595</v>
      </c>
      <c r="D31" s="94">
        <v>2.7879873369299979</v>
      </c>
      <c r="E31" s="95">
        <v>2.7412414949005814</v>
      </c>
      <c r="G31" s="107" t="s">
        <v>584</v>
      </c>
      <c r="H31" s="105">
        <v>82.826908120877093</v>
      </c>
      <c r="I31" s="97">
        <v>40</v>
      </c>
      <c r="J31" s="98">
        <v>26</v>
      </c>
      <c r="K31" s="85"/>
      <c r="L31" s="93">
        <v>0.36058318828756941</v>
      </c>
      <c r="M31" s="94">
        <v>0.31873576132258219</v>
      </c>
      <c r="N31" s="94">
        <v>1.8945471424192788</v>
      </c>
      <c r="O31" s="94">
        <v>3.4279999999999999</v>
      </c>
      <c r="P31" s="94">
        <v>3.04</v>
      </c>
      <c r="Q31" s="94">
        <v>2.762</v>
      </c>
      <c r="R31" s="94">
        <v>2.6850000000000001</v>
      </c>
      <c r="S31" s="94">
        <v>4.0380000000000003</v>
      </c>
      <c r="T31" s="94">
        <v>-3.9590000000000001</v>
      </c>
      <c r="U31" s="94">
        <v>7.6349999999999998</v>
      </c>
      <c r="V31" s="95">
        <v>3.3610000000000002</v>
      </c>
      <c r="W31" s="95">
        <f t="shared" si="0"/>
        <v>2.7646144159152897</v>
      </c>
    </row>
    <row r="32" spans="1:23" x14ac:dyDescent="0.35">
      <c r="A32" s="85" t="s">
        <v>582</v>
      </c>
      <c r="B32" s="85" t="s">
        <v>606</v>
      </c>
      <c r="C32" s="93">
        <v>3.7461786866062718</v>
      </c>
      <c r="D32" s="94">
        <v>4.6060819779328632</v>
      </c>
      <c r="E32" s="95">
        <v>4.9153359042722222</v>
      </c>
      <c r="G32" s="107" t="s">
        <v>401</v>
      </c>
      <c r="H32" s="105">
        <v>71.439342263551737</v>
      </c>
      <c r="I32" s="97">
        <v>81</v>
      </c>
      <c r="J32" s="98">
        <v>11</v>
      </c>
      <c r="K32" s="85"/>
      <c r="L32" s="93">
        <v>6.4526723809054332</v>
      </c>
      <c r="M32" s="94">
        <v>5.7926055919056534</v>
      </c>
      <c r="N32" s="94">
        <v>4.3268456132150384</v>
      </c>
      <c r="O32" s="94">
        <v>3.9209999999999998</v>
      </c>
      <c r="P32" s="94">
        <v>5.9580000000000002</v>
      </c>
      <c r="Q32" s="94">
        <v>6.2030000000000003</v>
      </c>
      <c r="R32" s="94">
        <v>6.6029999999999998</v>
      </c>
      <c r="S32" s="94">
        <v>5.6890000000000001</v>
      </c>
      <c r="T32" s="94">
        <v>1.931</v>
      </c>
      <c r="U32" s="94">
        <v>6.9050000000000002</v>
      </c>
      <c r="V32" s="95">
        <v>2.4729999999999999</v>
      </c>
      <c r="W32" s="95">
        <f t="shared" si="0"/>
        <v>4.7607089411025427</v>
      </c>
    </row>
    <row r="33" spans="1:23" x14ac:dyDescent="0.35">
      <c r="A33" s="85" t="s">
        <v>582</v>
      </c>
      <c r="B33" s="85" t="s">
        <v>607</v>
      </c>
      <c r="C33" s="93">
        <v>1.3140617594302739</v>
      </c>
      <c r="D33" s="94">
        <v>1.4727306023839093</v>
      </c>
      <c r="E33" s="95">
        <v>1.2263384025287261</v>
      </c>
      <c r="G33" s="107" t="s">
        <v>580</v>
      </c>
      <c r="H33" s="105">
        <v>45.872398734881529</v>
      </c>
      <c r="I33" s="97">
        <v>144</v>
      </c>
      <c r="J33" s="98">
        <v>40</v>
      </c>
      <c r="K33" s="85"/>
      <c r="L33" s="93">
        <v>4.4467082221454284</v>
      </c>
      <c r="M33" s="94">
        <v>4.9241952612883146</v>
      </c>
      <c r="N33" s="94">
        <v>4.2406516436807848</v>
      </c>
      <c r="O33" s="94">
        <v>-3.9</v>
      </c>
      <c r="P33" s="94">
        <v>-0.6</v>
      </c>
      <c r="Q33" s="94">
        <v>0.5</v>
      </c>
      <c r="R33" s="94">
        <v>1.61</v>
      </c>
      <c r="S33" s="94">
        <v>1.8420000000000001</v>
      </c>
      <c r="T33" s="94">
        <v>0.33500000000000002</v>
      </c>
      <c r="U33" s="94">
        <v>3.1190000000000002</v>
      </c>
      <c r="V33" s="95">
        <v>1.827</v>
      </c>
      <c r="W33" s="95">
        <f t="shared" si="0"/>
        <v>1.3495345024563177</v>
      </c>
    </row>
    <row r="34" spans="1:23" x14ac:dyDescent="0.35">
      <c r="A34" s="85" t="s">
        <v>582</v>
      </c>
      <c r="B34" s="85" t="s">
        <v>608</v>
      </c>
      <c r="C34" s="93">
        <v>0.23646198785876038</v>
      </c>
      <c r="D34" s="94">
        <v>2.1534613712418604</v>
      </c>
      <c r="E34" s="95">
        <v>2.1525774639498785</v>
      </c>
      <c r="G34" s="107" t="s">
        <v>401</v>
      </c>
      <c r="H34" s="105">
        <v>72.784877013329833</v>
      </c>
      <c r="I34" s="97">
        <v>78</v>
      </c>
      <c r="J34" s="98">
        <v>9</v>
      </c>
      <c r="K34" s="85"/>
      <c r="L34" s="93">
        <v>1.0819182787712764</v>
      </c>
      <c r="M34" s="94">
        <v>0.80279760057422567</v>
      </c>
      <c r="N34" s="94">
        <v>0.61121266620786829</v>
      </c>
      <c r="O34" s="94">
        <v>1.0069999999999999</v>
      </c>
      <c r="P34" s="94">
        <v>4.7060000000000004</v>
      </c>
      <c r="Q34" s="94">
        <v>3.702</v>
      </c>
      <c r="R34" s="94">
        <v>14.566000000000001</v>
      </c>
      <c r="S34" s="94">
        <v>5.6680000000000001</v>
      </c>
      <c r="T34" s="94">
        <v>-14.782999999999999</v>
      </c>
      <c r="U34" s="94">
        <v>7</v>
      </c>
      <c r="V34" s="95">
        <v>10.5</v>
      </c>
      <c r="W34" s="95">
        <f t="shared" si="0"/>
        <v>2.1530194175958695</v>
      </c>
    </row>
    <row r="35" spans="1:23" x14ac:dyDescent="0.35">
      <c r="A35" s="85" t="s">
        <v>578</v>
      </c>
      <c r="B35" s="85" t="s">
        <v>609</v>
      </c>
      <c r="C35" s="93">
        <v>1.5881444792890331</v>
      </c>
      <c r="D35" s="94">
        <v>3.8205347927408928</v>
      </c>
      <c r="E35" s="95">
        <v>5.437149341759695</v>
      </c>
      <c r="G35" s="107" t="s">
        <v>580</v>
      </c>
      <c r="H35" s="105">
        <v>41.696651110677628</v>
      </c>
      <c r="I35" s="97">
        <v>149</v>
      </c>
      <c r="J35" s="98">
        <v>31</v>
      </c>
      <c r="K35" s="85"/>
      <c r="L35" s="93">
        <v>7.3133455053000533</v>
      </c>
      <c r="M35" s="94">
        <v>7.3566651488797472</v>
      </c>
      <c r="N35" s="94">
        <v>7.1425711007429467</v>
      </c>
      <c r="O35" s="94">
        <v>7.0359999999999996</v>
      </c>
      <c r="P35" s="94">
        <v>6.8630000000000004</v>
      </c>
      <c r="Q35" s="94">
        <v>6.9969999999999999</v>
      </c>
      <c r="R35" s="94">
        <v>7.4690000000000003</v>
      </c>
      <c r="S35" s="94">
        <v>7.0540000000000003</v>
      </c>
      <c r="T35" s="94">
        <v>-3.0960000000000001</v>
      </c>
      <c r="U35" s="94">
        <v>3.0259999999999998</v>
      </c>
      <c r="V35" s="95">
        <v>5.0119999999999996</v>
      </c>
      <c r="W35" s="95">
        <f t="shared" si="0"/>
        <v>4.6288420672502939</v>
      </c>
    </row>
    <row r="36" spans="1:23" x14ac:dyDescent="0.35">
      <c r="A36" s="85" t="s">
        <v>582</v>
      </c>
      <c r="B36" s="85" t="s">
        <v>610</v>
      </c>
      <c r="C36" s="93">
        <v>2.4193069652844734</v>
      </c>
      <c r="D36" s="94">
        <v>3.5683606479580687</v>
      </c>
      <c r="E36" s="95">
        <v>4.2936580650607903</v>
      </c>
      <c r="G36" s="107" t="s">
        <v>424</v>
      </c>
      <c r="H36" s="105">
        <v>66.487838229569903</v>
      </c>
      <c r="I36" s="97">
        <v>107</v>
      </c>
      <c r="J36" s="98">
        <v>24</v>
      </c>
      <c r="K36" s="85"/>
      <c r="L36" s="93">
        <v>4.5432650156673571</v>
      </c>
      <c r="M36" s="94">
        <v>5.4042657097173343</v>
      </c>
      <c r="N36" s="94">
        <v>5.8840593266804415</v>
      </c>
      <c r="O36" s="94">
        <v>5.6</v>
      </c>
      <c r="P36" s="94">
        <v>4.4790000000000001</v>
      </c>
      <c r="Q36" s="94">
        <v>3.5409999999999999</v>
      </c>
      <c r="R36" s="94">
        <v>4.0220000000000002</v>
      </c>
      <c r="S36" s="94">
        <v>3.4220000000000002</v>
      </c>
      <c r="T36" s="94">
        <v>0.53900000000000003</v>
      </c>
      <c r="U36" s="94">
        <v>3.649</v>
      </c>
      <c r="V36" s="95">
        <v>3.383</v>
      </c>
      <c r="W36" s="95">
        <f t="shared" si="0"/>
        <v>3.9310093565094295</v>
      </c>
    </row>
    <row r="37" spans="1:23" x14ac:dyDescent="0.35">
      <c r="A37" s="85" t="s">
        <v>586</v>
      </c>
      <c r="B37" s="85" t="s">
        <v>611</v>
      </c>
      <c r="C37" s="93">
        <v>0.80505563787092171</v>
      </c>
      <c r="D37" s="94">
        <v>1.279888102037452</v>
      </c>
      <c r="E37" s="95">
        <v>1.6398804050051563</v>
      </c>
      <c r="G37" s="107" t="s">
        <v>417</v>
      </c>
      <c r="H37" s="105">
        <v>95.837528170961207</v>
      </c>
      <c r="I37" s="97">
        <v>17</v>
      </c>
      <c r="J37" s="98">
        <v>2</v>
      </c>
      <c r="K37" s="85"/>
      <c r="L37" s="93">
        <v>1.762222549554276</v>
      </c>
      <c r="M37" s="94">
        <v>2.3291225223044822</v>
      </c>
      <c r="N37" s="94">
        <v>2.8700360387422155</v>
      </c>
      <c r="O37" s="94">
        <v>0.65900000000000003</v>
      </c>
      <c r="P37" s="94">
        <v>1.0009999999999999</v>
      </c>
      <c r="Q37" s="94">
        <v>3.04</v>
      </c>
      <c r="R37" s="94">
        <v>2.7770000000000001</v>
      </c>
      <c r="S37" s="94">
        <v>1.8879999999999999</v>
      </c>
      <c r="T37" s="94">
        <v>-5.0739999999999998</v>
      </c>
      <c r="U37" s="94">
        <v>5.0119999999999996</v>
      </c>
      <c r="V37" s="95">
        <v>3.3959999999999999</v>
      </c>
      <c r="W37" s="95">
        <f t="shared" si="0"/>
        <v>1.4598842535213041</v>
      </c>
    </row>
    <row r="38" spans="1:23" x14ac:dyDescent="0.35">
      <c r="A38" s="85" t="s">
        <v>582</v>
      </c>
      <c r="B38" s="85" t="s">
        <v>612</v>
      </c>
      <c r="C38" s="93">
        <v>0.72569907638180275</v>
      </c>
      <c r="D38" s="94">
        <v>1.8043988935163791</v>
      </c>
      <c r="E38" s="95">
        <v>-2.2645674209426092</v>
      </c>
      <c r="G38" s="107" t="s">
        <v>580</v>
      </c>
      <c r="H38" s="105">
        <v>41.466247411534134</v>
      </c>
      <c r="I38" s="97">
        <v>150</v>
      </c>
      <c r="J38" s="98">
        <v>44</v>
      </c>
      <c r="K38" s="85"/>
      <c r="L38" s="93">
        <v>5.053761253569192</v>
      </c>
      <c r="M38" s="94">
        <v>-36.391977098388679</v>
      </c>
      <c r="N38" s="94">
        <v>8.1070515326508011E-2</v>
      </c>
      <c r="O38" s="94">
        <v>4.3380000000000001</v>
      </c>
      <c r="P38" s="94">
        <v>4.75</v>
      </c>
      <c r="Q38" s="94">
        <v>4.5279999999999996</v>
      </c>
      <c r="R38" s="94">
        <v>3.82</v>
      </c>
      <c r="S38" s="94">
        <v>2.97</v>
      </c>
      <c r="T38" s="94">
        <v>0.95899999999999996</v>
      </c>
      <c r="U38" s="94">
        <v>0.98299999999999998</v>
      </c>
      <c r="V38" s="95">
        <v>0.378</v>
      </c>
      <c r="W38" s="95">
        <f t="shared" si="0"/>
        <v>-0.23008426371311508</v>
      </c>
    </row>
    <row r="39" spans="1:23" x14ac:dyDescent="0.35">
      <c r="A39" s="85" t="s">
        <v>582</v>
      </c>
      <c r="B39" s="85" t="s">
        <v>613</v>
      </c>
      <c r="C39" s="93">
        <v>-0.11885802228936981</v>
      </c>
      <c r="D39" s="94">
        <v>1.0424126086531427</v>
      </c>
      <c r="E39" s="95">
        <v>1.0693731739606749</v>
      </c>
      <c r="G39" s="107" t="s">
        <v>580</v>
      </c>
      <c r="H39" s="105">
        <v>46.134841898100355</v>
      </c>
      <c r="I39" s="97">
        <v>143</v>
      </c>
      <c r="J39" s="98">
        <v>39</v>
      </c>
      <c r="K39" s="85"/>
      <c r="L39" s="93">
        <v>8.8825760717031557</v>
      </c>
      <c r="M39" s="94">
        <v>5.7000013628586537</v>
      </c>
      <c r="N39" s="94">
        <v>6.8999850453216673</v>
      </c>
      <c r="O39" s="94">
        <v>1.77</v>
      </c>
      <c r="P39" s="94">
        <v>-5.5579999999999998</v>
      </c>
      <c r="Q39" s="94">
        <v>-2.38</v>
      </c>
      <c r="R39" s="94">
        <v>2.355</v>
      </c>
      <c r="S39" s="94">
        <v>3.419</v>
      </c>
      <c r="T39" s="94">
        <v>-2.1419999999999999</v>
      </c>
      <c r="U39" s="94">
        <v>-1.1020000000000001</v>
      </c>
      <c r="V39" s="95">
        <v>2.4940000000000002</v>
      </c>
      <c r="W39" s="95">
        <f t="shared" si="0"/>
        <v>1.0558928913069088</v>
      </c>
    </row>
    <row r="40" spans="1:23" x14ac:dyDescent="0.35">
      <c r="A40" s="85" t="s">
        <v>586</v>
      </c>
      <c r="B40" s="85" t="s">
        <v>614</v>
      </c>
      <c r="C40" s="93">
        <v>2.4572143474803632</v>
      </c>
      <c r="D40" s="94">
        <v>3.0605383736418856</v>
      </c>
      <c r="E40" s="95">
        <v>2.6285168981251106</v>
      </c>
      <c r="G40" s="107" t="s">
        <v>417</v>
      </c>
      <c r="H40" s="105">
        <v>89.938976035792962</v>
      </c>
      <c r="I40" s="97">
        <v>28</v>
      </c>
      <c r="J40" s="98">
        <v>3</v>
      </c>
      <c r="K40" s="85"/>
      <c r="L40" s="93">
        <v>5.3186280004141473</v>
      </c>
      <c r="M40" s="94">
        <v>4.0450042981489593</v>
      </c>
      <c r="N40" s="94">
        <v>1.7667397836386938</v>
      </c>
      <c r="O40" s="94">
        <v>2.1520000000000001</v>
      </c>
      <c r="P40" s="94">
        <v>1.7529999999999999</v>
      </c>
      <c r="Q40" s="94">
        <v>1.3580000000000001</v>
      </c>
      <c r="R40" s="94">
        <v>3.99</v>
      </c>
      <c r="S40" s="94">
        <v>0.74299999999999999</v>
      </c>
      <c r="T40" s="94">
        <v>-6.1449999999999996</v>
      </c>
      <c r="U40" s="94">
        <v>11.737</v>
      </c>
      <c r="V40" s="95">
        <v>2.44</v>
      </c>
      <c r="W40" s="95">
        <f t="shared" si="0"/>
        <v>2.8445276358834981</v>
      </c>
    </row>
    <row r="41" spans="1:23" x14ac:dyDescent="0.35">
      <c r="A41" s="85" t="s">
        <v>578</v>
      </c>
      <c r="B41" s="85" t="s">
        <v>615</v>
      </c>
      <c r="C41" s="93">
        <v>4.4136018906123953</v>
      </c>
      <c r="D41" s="94">
        <v>5.1836523723133077</v>
      </c>
      <c r="E41" s="95">
        <v>6.1897338385474399</v>
      </c>
      <c r="G41" s="107" t="s">
        <v>584</v>
      </c>
      <c r="H41" s="105">
        <v>79.714044846147502</v>
      </c>
      <c r="I41" s="97">
        <v>50</v>
      </c>
      <c r="J41" s="98">
        <v>7</v>
      </c>
      <c r="K41" s="85"/>
      <c r="L41" s="93">
        <v>7.8596274932851555</v>
      </c>
      <c r="M41" s="94">
        <v>7.7686152841281606</v>
      </c>
      <c r="N41" s="94">
        <v>7.4245236561990726</v>
      </c>
      <c r="O41" s="94">
        <v>7.0179999999999998</v>
      </c>
      <c r="P41" s="94">
        <v>6.851</v>
      </c>
      <c r="Q41" s="94">
        <v>6.9470000000000001</v>
      </c>
      <c r="R41" s="94">
        <v>6.7510000000000003</v>
      </c>
      <c r="S41" s="94">
        <v>5.9509999999999996</v>
      </c>
      <c r="T41" s="94">
        <v>2.242</v>
      </c>
      <c r="U41" s="94">
        <v>8.4499999999999993</v>
      </c>
      <c r="V41" s="95">
        <v>2.988</v>
      </c>
      <c r="W41" s="95">
        <f t="shared" si="0"/>
        <v>5.6866931054303738</v>
      </c>
    </row>
    <row r="42" spans="1:23" x14ac:dyDescent="0.35">
      <c r="A42" s="85" t="s">
        <v>586</v>
      </c>
      <c r="B42" s="85" t="s">
        <v>616</v>
      </c>
      <c r="C42" s="93">
        <v>3.4115994769119862</v>
      </c>
      <c r="D42" s="94">
        <v>2.9902381196408978</v>
      </c>
      <c r="E42" s="95">
        <v>3.0937390088282557</v>
      </c>
      <c r="G42" s="107" t="s">
        <v>584</v>
      </c>
      <c r="H42" s="105">
        <v>79.943455242802315</v>
      </c>
      <c r="I42" s="97">
        <v>48</v>
      </c>
      <c r="J42" s="98">
        <v>6</v>
      </c>
      <c r="K42" s="85"/>
      <c r="L42" s="93">
        <v>3.9126357671611296</v>
      </c>
      <c r="M42" s="94">
        <v>5.1339935199566966</v>
      </c>
      <c r="N42" s="94">
        <v>4.4990300011097339</v>
      </c>
      <c r="O42" s="94">
        <v>2.956</v>
      </c>
      <c r="P42" s="94">
        <v>2.0880000000000001</v>
      </c>
      <c r="Q42" s="94">
        <v>1.359</v>
      </c>
      <c r="R42" s="94">
        <v>2.5640000000000001</v>
      </c>
      <c r="S42" s="94">
        <v>3.1869999999999998</v>
      </c>
      <c r="T42" s="94">
        <v>-7.2519999999999998</v>
      </c>
      <c r="U42" s="94">
        <v>11.016</v>
      </c>
      <c r="V42" s="95">
        <v>7.4960000000000004</v>
      </c>
      <c r="W42" s="95">
        <f t="shared" si="0"/>
        <v>3.0419885642345768</v>
      </c>
    </row>
    <row r="43" spans="1:23" x14ac:dyDescent="0.35">
      <c r="A43" s="85" t="s">
        <v>582</v>
      </c>
      <c r="B43" s="85" t="s">
        <v>617</v>
      </c>
      <c r="C43" s="93">
        <v>1.4424277454801349</v>
      </c>
      <c r="D43" s="94">
        <v>1.9425285111170032</v>
      </c>
      <c r="E43" s="95">
        <v>2.451644301489786</v>
      </c>
      <c r="G43" s="107" t="s">
        <v>424</v>
      </c>
      <c r="H43" s="105">
        <v>68.943026951610364</v>
      </c>
      <c r="I43" s="97">
        <v>96</v>
      </c>
      <c r="J43" s="98">
        <v>17</v>
      </c>
      <c r="K43" s="85"/>
      <c r="L43" s="93">
        <v>3.2002729031888046</v>
      </c>
      <c r="M43" s="94">
        <v>4.4998742153082745</v>
      </c>
      <c r="N43" s="94">
        <v>2.1000064383028905</v>
      </c>
      <c r="O43" s="94">
        <v>1.147</v>
      </c>
      <c r="P43" s="94">
        <v>3.32</v>
      </c>
      <c r="Q43" s="94">
        <v>3.8159999999999998</v>
      </c>
      <c r="R43" s="94">
        <v>3.6419999999999999</v>
      </c>
      <c r="S43" s="94">
        <v>1.7609999999999999</v>
      </c>
      <c r="T43" s="94">
        <v>-0.19600000000000001</v>
      </c>
      <c r="U43" s="94">
        <v>2.1120000000000001</v>
      </c>
      <c r="V43" s="95">
        <v>2.431</v>
      </c>
      <c r="W43" s="95">
        <f t="shared" si="0"/>
        <v>2.1970864063033946</v>
      </c>
    </row>
    <row r="44" spans="1:23" x14ac:dyDescent="0.35">
      <c r="A44" s="85" t="s">
        <v>582</v>
      </c>
      <c r="B44" s="85" t="s">
        <v>618</v>
      </c>
      <c r="C44" s="93">
        <v>4.8306254668632809</v>
      </c>
      <c r="D44" s="94">
        <v>4.9384402884992351</v>
      </c>
      <c r="E44" s="95">
        <v>5.5494362942043685</v>
      </c>
      <c r="G44" s="107" t="s">
        <v>580</v>
      </c>
      <c r="H44" s="105">
        <v>40.102703133666751</v>
      </c>
      <c r="I44" s="97">
        <v>151</v>
      </c>
      <c r="J44" s="98">
        <v>45</v>
      </c>
      <c r="K44" s="85"/>
      <c r="L44" s="93">
        <v>7.0868989467193844</v>
      </c>
      <c r="M44" s="94">
        <v>8.4819566360875722</v>
      </c>
      <c r="N44" s="94">
        <v>9.4702880971408341</v>
      </c>
      <c r="O44" s="94">
        <v>6.36</v>
      </c>
      <c r="P44" s="94">
        <v>0.39400000000000002</v>
      </c>
      <c r="Q44" s="94">
        <v>3.6579999999999999</v>
      </c>
      <c r="R44" s="94">
        <v>4.8250000000000002</v>
      </c>
      <c r="S44" s="94">
        <v>4.4850000000000003</v>
      </c>
      <c r="T44" s="94">
        <v>1.671</v>
      </c>
      <c r="U44" s="94">
        <v>6.2290000000000001</v>
      </c>
      <c r="V44" s="95">
        <v>6.6269999999999998</v>
      </c>
      <c r="W44" s="95">
        <f t="shared" si="0"/>
        <v>5.2439382913518013</v>
      </c>
    </row>
    <row r="45" spans="1:23" x14ac:dyDescent="0.35">
      <c r="A45" s="85" t="s">
        <v>582</v>
      </c>
      <c r="B45" s="85" t="s">
        <v>619</v>
      </c>
      <c r="C45" s="93">
        <v>-1.9540231466170455</v>
      </c>
      <c r="D45" s="94">
        <v>-2.1626068363397866</v>
      </c>
      <c r="E45" s="95">
        <v>-2.4351268953680449</v>
      </c>
      <c r="G45" s="107" t="s">
        <v>580</v>
      </c>
      <c r="H45" s="105">
        <v>42.318471362744162</v>
      </c>
      <c r="I45" s="97">
        <v>148</v>
      </c>
      <c r="J45" s="98">
        <v>43</v>
      </c>
      <c r="K45" s="85"/>
      <c r="L45" s="93">
        <v>9.9471531425756439</v>
      </c>
      <c r="M45" s="94">
        <v>-0.71243445187648202</v>
      </c>
      <c r="N45" s="94">
        <v>6.7166793337864945</v>
      </c>
      <c r="O45" s="94">
        <v>-3.5510000000000002</v>
      </c>
      <c r="P45" s="94">
        <v>-10.782999999999999</v>
      </c>
      <c r="Q45" s="94">
        <v>-4.383</v>
      </c>
      <c r="R45" s="94">
        <v>-4.8049999999999997</v>
      </c>
      <c r="S45" s="94">
        <v>1.026</v>
      </c>
      <c r="T45" s="94">
        <v>-6.1980000000000004</v>
      </c>
      <c r="U45" s="94">
        <v>1.5</v>
      </c>
      <c r="V45" s="95">
        <v>2.7850000000000001</v>
      </c>
      <c r="W45" s="95">
        <f t="shared" si="0"/>
        <v>-2.298866865853916</v>
      </c>
    </row>
    <row r="46" spans="1:23" x14ac:dyDescent="0.35">
      <c r="A46" s="85" t="s">
        <v>586</v>
      </c>
      <c r="B46" s="85" t="s">
        <v>620</v>
      </c>
      <c r="C46" s="93">
        <v>2.4986852323448439</v>
      </c>
      <c r="D46" s="94">
        <v>3.7972658363557565</v>
      </c>
      <c r="E46" s="95">
        <v>3.649680120396992</v>
      </c>
      <c r="G46" s="107" t="s">
        <v>584</v>
      </c>
      <c r="H46" s="105">
        <v>86.218051096846139</v>
      </c>
      <c r="I46" s="97">
        <v>34</v>
      </c>
      <c r="J46" s="98">
        <v>4</v>
      </c>
      <c r="K46" s="85"/>
      <c r="L46" s="93">
        <v>4.7969199185815947</v>
      </c>
      <c r="M46" s="94">
        <v>2.2690274004615811</v>
      </c>
      <c r="N46" s="94">
        <v>3.5153385639114227</v>
      </c>
      <c r="O46" s="94">
        <v>3.6520000000000001</v>
      </c>
      <c r="P46" s="94">
        <v>4.2039999999999997</v>
      </c>
      <c r="Q46" s="94">
        <v>4.1580000000000004</v>
      </c>
      <c r="R46" s="94">
        <v>2.6160000000000001</v>
      </c>
      <c r="S46" s="94">
        <v>2.4180000000000001</v>
      </c>
      <c r="T46" s="94">
        <v>-4.2729999999999997</v>
      </c>
      <c r="U46" s="94">
        <v>7.7809999999999997</v>
      </c>
      <c r="V46" s="95">
        <v>4.3239999999999998</v>
      </c>
      <c r="W46" s="95">
        <f t="shared" si="0"/>
        <v>3.7234729783763743</v>
      </c>
    </row>
    <row r="47" spans="1:23" x14ac:dyDescent="0.35">
      <c r="A47" s="85" t="s">
        <v>582</v>
      </c>
      <c r="B47" s="85" t="s">
        <v>621</v>
      </c>
      <c r="C47" s="93">
        <v>5.2133244785906863</v>
      </c>
      <c r="D47" s="94">
        <v>5.7501340546816326</v>
      </c>
      <c r="E47" s="95">
        <v>6.9731316213943906</v>
      </c>
      <c r="G47" s="107" t="s">
        <v>424</v>
      </c>
      <c r="H47" s="105">
        <v>69.121915522328067</v>
      </c>
      <c r="I47" s="97">
        <v>95</v>
      </c>
      <c r="J47" s="98">
        <v>16</v>
      </c>
      <c r="K47" s="85"/>
      <c r="L47" s="93">
        <v>10.706504103485498</v>
      </c>
      <c r="M47" s="94">
        <v>8.8894213015542505</v>
      </c>
      <c r="N47" s="94">
        <v>8.7940773902773532</v>
      </c>
      <c r="O47" s="94">
        <v>8.843</v>
      </c>
      <c r="P47" s="94">
        <v>7.173</v>
      </c>
      <c r="Q47" s="94">
        <v>6.1429999999999998</v>
      </c>
      <c r="R47" s="94">
        <v>3.7509999999999999</v>
      </c>
      <c r="S47" s="94">
        <v>8.31</v>
      </c>
      <c r="T47" s="94">
        <v>1.7</v>
      </c>
      <c r="U47" s="94">
        <v>7</v>
      </c>
      <c r="V47" s="95">
        <v>6.7</v>
      </c>
      <c r="W47" s="95">
        <f t="shared" si="0"/>
        <v>6.3616328380380116</v>
      </c>
    </row>
    <row r="48" spans="1:23" x14ac:dyDescent="0.35">
      <c r="A48" s="85" t="s">
        <v>227</v>
      </c>
      <c r="B48" s="85" t="s">
        <v>622</v>
      </c>
      <c r="C48" s="93">
        <v>3.2016110581527757</v>
      </c>
      <c r="D48" s="94">
        <v>3.6386983370098269</v>
      </c>
      <c r="E48" s="95">
        <v>2.6484109069949024</v>
      </c>
      <c r="G48" s="107" t="s">
        <v>584</v>
      </c>
      <c r="H48" s="105">
        <v>83.891853807505186</v>
      </c>
      <c r="I48" s="97">
        <v>39</v>
      </c>
      <c r="J48" s="98">
        <v>25</v>
      </c>
      <c r="K48" s="85"/>
      <c r="L48" s="93">
        <v>-2.2376475412236791</v>
      </c>
      <c r="M48" s="94">
        <v>-0.54854848857064353</v>
      </c>
      <c r="N48" s="94">
        <v>-0.10392849719394197</v>
      </c>
      <c r="O48" s="94">
        <v>2.524</v>
      </c>
      <c r="P48" s="94">
        <v>3.56</v>
      </c>
      <c r="Q48" s="94">
        <v>3.4140000000000001</v>
      </c>
      <c r="R48" s="94">
        <v>2.7989999999999999</v>
      </c>
      <c r="S48" s="94">
        <v>3.42</v>
      </c>
      <c r="T48" s="94">
        <v>-8.58</v>
      </c>
      <c r="U48" s="94">
        <v>13.07</v>
      </c>
      <c r="V48" s="95">
        <v>6.3319999999999999</v>
      </c>
      <c r="W48" s="95">
        <f t="shared" si="0"/>
        <v>3.1435546220023647</v>
      </c>
    </row>
    <row r="49" spans="1:23" x14ac:dyDescent="0.35">
      <c r="A49" s="85" t="s">
        <v>227</v>
      </c>
      <c r="B49" s="85" t="s">
        <v>623</v>
      </c>
      <c r="C49" s="93">
        <v>2.5096449899315587</v>
      </c>
      <c r="D49" s="94">
        <v>3.8028194592395037</v>
      </c>
      <c r="E49" s="95">
        <v>2.5630103304818297</v>
      </c>
      <c r="G49" s="107" t="s">
        <v>584</v>
      </c>
      <c r="H49" s="105">
        <v>87.255396390154942</v>
      </c>
      <c r="I49" s="97">
        <v>32</v>
      </c>
      <c r="J49" s="98">
        <v>21</v>
      </c>
      <c r="K49" s="85"/>
      <c r="L49" s="93">
        <v>-3.4468220858971224</v>
      </c>
      <c r="M49" s="94">
        <v>-6.5530782549911972</v>
      </c>
      <c r="N49" s="94">
        <v>-1.8293091092200273</v>
      </c>
      <c r="O49" s="94">
        <v>3.4180000000000001</v>
      </c>
      <c r="P49" s="94">
        <v>6.5739999999999998</v>
      </c>
      <c r="Q49" s="94">
        <v>5.7329999999999997</v>
      </c>
      <c r="R49" s="94">
        <v>5.649</v>
      </c>
      <c r="S49" s="94">
        <v>5.5289999999999999</v>
      </c>
      <c r="T49" s="94">
        <v>-4.3710000000000004</v>
      </c>
      <c r="U49" s="94">
        <v>6.6369999999999996</v>
      </c>
      <c r="V49" s="95">
        <v>5.6319999999999997</v>
      </c>
      <c r="W49" s="95">
        <f t="shared" si="0"/>
        <v>3.1829148948606667</v>
      </c>
    </row>
    <row r="50" spans="1:23" x14ac:dyDescent="0.35">
      <c r="A50" s="85" t="s">
        <v>227</v>
      </c>
      <c r="B50" s="85" t="s">
        <v>624</v>
      </c>
      <c r="C50" s="93">
        <v>7.8479275411136307E-2</v>
      </c>
      <c r="D50" s="94">
        <v>1.4620184569118511</v>
      </c>
      <c r="E50" s="95">
        <v>2.1534461321011111</v>
      </c>
      <c r="G50" s="107" t="s">
        <v>417</v>
      </c>
      <c r="H50" s="105">
        <v>91.450544124021832</v>
      </c>
      <c r="I50" s="97">
        <v>23</v>
      </c>
      <c r="J50" s="98">
        <v>15</v>
      </c>
      <c r="K50" s="85"/>
      <c r="L50" s="93">
        <v>-0.79984428098029747</v>
      </c>
      <c r="M50" s="94">
        <v>-0.48367104180935355</v>
      </c>
      <c r="N50" s="94">
        <v>2.7151161333034923</v>
      </c>
      <c r="O50" s="94">
        <v>5.3879999999999999</v>
      </c>
      <c r="P50" s="94">
        <v>2.5369999999999999</v>
      </c>
      <c r="Q50" s="94">
        <v>5.1689999999999996</v>
      </c>
      <c r="R50" s="94">
        <v>3.22</v>
      </c>
      <c r="S50" s="94">
        <v>3.03</v>
      </c>
      <c r="T50" s="94">
        <v>-5.5030000000000001</v>
      </c>
      <c r="U50" s="94">
        <v>3.5529999999999999</v>
      </c>
      <c r="V50" s="95">
        <v>2.4420000000000002</v>
      </c>
      <c r="W50" s="95">
        <f t="shared" si="0"/>
        <v>1.8077322945064811</v>
      </c>
    </row>
    <row r="51" spans="1:23" x14ac:dyDescent="0.35">
      <c r="A51" s="85" t="s">
        <v>227</v>
      </c>
      <c r="B51" s="85" t="s">
        <v>625</v>
      </c>
      <c r="C51" s="93">
        <v>2.1173186821453305</v>
      </c>
      <c r="D51" s="94">
        <v>2.0745382872927598</v>
      </c>
      <c r="E51" s="95">
        <v>2.0535686786969709</v>
      </c>
      <c r="G51" s="107" t="s">
        <v>417</v>
      </c>
      <c r="H51" s="105">
        <v>97.848591628257381</v>
      </c>
      <c r="I51" s="97">
        <v>3</v>
      </c>
      <c r="J51" s="98">
        <v>2</v>
      </c>
      <c r="K51" s="85"/>
      <c r="L51" s="93">
        <v>0.22649979701625131</v>
      </c>
      <c r="M51" s="94">
        <v>0.93334095705108477</v>
      </c>
      <c r="N51" s="94">
        <v>1.6193938166337245</v>
      </c>
      <c r="O51" s="94">
        <v>2.343</v>
      </c>
      <c r="P51" s="94">
        <v>3.2480000000000002</v>
      </c>
      <c r="Q51" s="94">
        <v>2.819</v>
      </c>
      <c r="R51" s="94">
        <v>1.9910000000000001</v>
      </c>
      <c r="S51" s="94">
        <v>1.4930000000000001</v>
      </c>
      <c r="T51" s="94">
        <v>-1.994</v>
      </c>
      <c r="U51" s="94">
        <v>4.8570000000000002</v>
      </c>
      <c r="V51" s="95">
        <v>3.6230000000000002</v>
      </c>
      <c r="W51" s="95">
        <f t="shared" si="0"/>
        <v>2.0640534829948654</v>
      </c>
    </row>
    <row r="52" spans="1:23" x14ac:dyDescent="0.35">
      <c r="A52" s="85" t="s">
        <v>586</v>
      </c>
      <c r="B52" s="85" t="s">
        <v>626</v>
      </c>
      <c r="C52" s="93">
        <v>3.1998461156594438</v>
      </c>
      <c r="D52" s="94">
        <v>4.316018962980106</v>
      </c>
      <c r="E52" s="95">
        <v>5.1698060844696858</v>
      </c>
      <c r="G52" s="107" t="s">
        <v>584</v>
      </c>
      <c r="H52" s="105">
        <v>76.661181476266762</v>
      </c>
      <c r="I52" s="97">
        <v>62</v>
      </c>
      <c r="J52" s="98">
        <v>9</v>
      </c>
      <c r="K52" s="85"/>
      <c r="L52" s="93">
        <v>2.7173678967056243</v>
      </c>
      <c r="M52" s="94">
        <v>4.8752050933227107</v>
      </c>
      <c r="N52" s="94">
        <v>7.0504636896591117</v>
      </c>
      <c r="O52" s="94">
        <v>6.9269999999999996</v>
      </c>
      <c r="P52" s="94">
        <v>6.6589999999999998</v>
      </c>
      <c r="Q52" s="94">
        <v>4.6669999999999998</v>
      </c>
      <c r="R52" s="94">
        <v>6.9829999999999997</v>
      </c>
      <c r="S52" s="94">
        <v>5.0519999999999996</v>
      </c>
      <c r="T52" s="94">
        <v>-6.72</v>
      </c>
      <c r="U52" s="94">
        <v>12.272</v>
      </c>
      <c r="V52" s="95">
        <v>4.9489999999999998</v>
      </c>
      <c r="W52" s="95">
        <f t="shared" si="0"/>
        <v>4.7429125237248959</v>
      </c>
    </row>
    <row r="53" spans="1:23" x14ac:dyDescent="0.35">
      <c r="A53" s="85" t="s">
        <v>586</v>
      </c>
      <c r="B53" s="85" t="s">
        <v>627</v>
      </c>
      <c r="C53" s="93">
        <v>-0.32141867374969602</v>
      </c>
      <c r="D53" s="94">
        <v>6.5490773887200149E-2</v>
      </c>
      <c r="E53" s="95">
        <v>1.0130868701887064</v>
      </c>
      <c r="G53" s="111" t="s">
        <v>424</v>
      </c>
      <c r="H53" s="105">
        <v>61.323621492965962</v>
      </c>
      <c r="I53" s="97">
        <v>123</v>
      </c>
      <c r="J53" s="98">
        <v>20</v>
      </c>
      <c r="K53" s="85"/>
      <c r="L53" s="93">
        <v>5.641962066711991</v>
      </c>
      <c r="M53" s="94">
        <v>4.9465112669062528</v>
      </c>
      <c r="N53" s="94">
        <v>3.7888685492083329</v>
      </c>
      <c r="O53" s="94">
        <v>9.9000000000000005E-2</v>
      </c>
      <c r="P53" s="94">
        <v>-1.226</v>
      </c>
      <c r="Q53" s="94">
        <v>2.3679999999999999</v>
      </c>
      <c r="R53" s="94">
        <v>1.2889999999999999</v>
      </c>
      <c r="S53" s="94">
        <v>1.2E-2</v>
      </c>
      <c r="T53" s="94">
        <v>-7.7880000000000003</v>
      </c>
      <c r="U53" s="94">
        <v>4.2350000000000003</v>
      </c>
      <c r="V53" s="95">
        <v>3.0390000000000001</v>
      </c>
      <c r="W53" s="95">
        <f t="shared" si="0"/>
        <v>0.53928882203795325</v>
      </c>
    </row>
    <row r="54" spans="1:23" x14ac:dyDescent="0.35">
      <c r="A54" s="85" t="s">
        <v>582</v>
      </c>
      <c r="B54" s="85" t="s">
        <v>628</v>
      </c>
      <c r="C54" s="93">
        <v>4.4912036839904523</v>
      </c>
      <c r="D54" s="94">
        <v>4.8680352120142656</v>
      </c>
      <c r="E54" s="95">
        <v>4.2302867143853229</v>
      </c>
      <c r="G54" s="107" t="s">
        <v>424</v>
      </c>
      <c r="H54" s="105">
        <v>63.405428674671668</v>
      </c>
      <c r="I54" s="97">
        <v>119</v>
      </c>
      <c r="J54" s="98">
        <v>28</v>
      </c>
      <c r="K54" s="85"/>
      <c r="L54" s="93">
        <v>2.2261997966213811</v>
      </c>
      <c r="M54" s="94">
        <v>2.1854660547123101</v>
      </c>
      <c r="N54" s="94">
        <v>2.9159118788358169</v>
      </c>
      <c r="O54" s="94">
        <v>4.4340000000000002</v>
      </c>
      <c r="P54" s="94">
        <v>4.5060000000000002</v>
      </c>
      <c r="Q54" s="94">
        <v>2.3690000000000002</v>
      </c>
      <c r="R54" s="94">
        <v>5.3310000000000004</v>
      </c>
      <c r="S54" s="94">
        <v>5.5339999999999998</v>
      </c>
      <c r="T54" s="94">
        <v>3.5139999999999998</v>
      </c>
      <c r="U54" s="94">
        <v>3.3069999999999999</v>
      </c>
      <c r="V54" s="95">
        <v>6.609</v>
      </c>
      <c r="W54" s="95">
        <f t="shared" si="0"/>
        <v>4.5491609631997942</v>
      </c>
    </row>
    <row r="55" spans="1:23" x14ac:dyDescent="0.35">
      <c r="A55" s="85" t="s">
        <v>586</v>
      </c>
      <c r="B55" s="85" t="s">
        <v>629</v>
      </c>
      <c r="C55" s="93">
        <v>1.3471265984384528</v>
      </c>
      <c r="D55" s="94">
        <v>1.776882859029727</v>
      </c>
      <c r="E55" s="95">
        <v>2.0016468394263187</v>
      </c>
      <c r="G55" s="107" t="s">
        <v>401</v>
      </c>
      <c r="H55" s="105">
        <v>69.210174273537845</v>
      </c>
      <c r="I55" s="97">
        <v>94</v>
      </c>
      <c r="J55" s="98">
        <v>13</v>
      </c>
      <c r="K55" s="85"/>
      <c r="L55" s="93">
        <v>2.8155018217952783</v>
      </c>
      <c r="M55" s="94">
        <v>2.2337536818851604</v>
      </c>
      <c r="N55" s="94">
        <v>1.7112232058649222</v>
      </c>
      <c r="O55" s="94">
        <v>2.395</v>
      </c>
      <c r="P55" s="94">
        <v>2.5419999999999998</v>
      </c>
      <c r="Q55" s="94">
        <v>2.2530000000000001</v>
      </c>
      <c r="R55" s="94">
        <v>2.4119999999999999</v>
      </c>
      <c r="S55" s="94">
        <v>2.4350000000000001</v>
      </c>
      <c r="T55" s="94">
        <v>-8.1750000000000007</v>
      </c>
      <c r="U55" s="94">
        <v>10.269</v>
      </c>
      <c r="V55" s="95">
        <v>2.8</v>
      </c>
      <c r="W55" s="95">
        <f t="shared" si="0"/>
        <v>1.8892648492280228</v>
      </c>
    </row>
    <row r="56" spans="1:23" x14ac:dyDescent="0.35">
      <c r="A56" s="85" t="s">
        <v>227</v>
      </c>
      <c r="B56" s="85" t="s">
        <v>630</v>
      </c>
      <c r="C56" s="93">
        <v>1.972770435214799</v>
      </c>
      <c r="D56" s="94">
        <v>2.6853264084946815</v>
      </c>
      <c r="E56" s="95">
        <v>2.7928430899179402</v>
      </c>
      <c r="G56" s="107" t="s">
        <v>584</v>
      </c>
      <c r="H56" s="105">
        <v>82.267245472231053</v>
      </c>
      <c r="I56" s="97">
        <v>41</v>
      </c>
      <c r="J56" s="98">
        <v>27</v>
      </c>
      <c r="K56" s="85"/>
      <c r="L56" s="93">
        <v>3.1248431915696226</v>
      </c>
      <c r="M56" s="94">
        <v>1.346187835760732</v>
      </c>
      <c r="N56" s="94">
        <v>2.9873258188549392</v>
      </c>
      <c r="O56" s="94">
        <v>1.853</v>
      </c>
      <c r="P56" s="94">
        <v>3.1549999999999998</v>
      </c>
      <c r="Q56" s="94">
        <v>5.7919999999999998</v>
      </c>
      <c r="R56" s="94">
        <v>3.7839999999999998</v>
      </c>
      <c r="S56" s="94">
        <v>3.74</v>
      </c>
      <c r="T56" s="94">
        <v>-0.55100000000000005</v>
      </c>
      <c r="U56" s="94">
        <v>8.0129999999999999</v>
      </c>
      <c r="V56" s="95">
        <v>-1.2869999999999999</v>
      </c>
      <c r="W56" s="95">
        <f t="shared" si="0"/>
        <v>2.7390847492063108</v>
      </c>
    </row>
    <row r="57" spans="1:23" x14ac:dyDescent="0.35">
      <c r="A57" s="85" t="s">
        <v>582</v>
      </c>
      <c r="B57" s="85" t="s">
        <v>631</v>
      </c>
      <c r="C57" s="93">
        <v>2.1841699351578647</v>
      </c>
      <c r="D57" s="94">
        <v>2.1180367535848621</v>
      </c>
      <c r="E57" s="95">
        <v>2.094572895591984</v>
      </c>
      <c r="G57" s="107" t="s">
        <v>424</v>
      </c>
      <c r="H57" s="105">
        <v>63.876381030610304</v>
      </c>
      <c r="I57" s="97">
        <v>117</v>
      </c>
      <c r="J57" s="98">
        <v>27</v>
      </c>
      <c r="K57" s="85"/>
      <c r="L57" s="93">
        <v>5.3913093065302364</v>
      </c>
      <c r="M57" s="94">
        <v>3.8622718821819677</v>
      </c>
      <c r="N57" s="94">
        <v>0.91319649477376841</v>
      </c>
      <c r="O57" s="94">
        <v>2.2269999999999999</v>
      </c>
      <c r="P57" s="94">
        <v>1.0629999999999999</v>
      </c>
      <c r="Q57" s="94">
        <v>2.0270000000000001</v>
      </c>
      <c r="R57" s="94">
        <v>2.3690000000000002</v>
      </c>
      <c r="S57" s="94">
        <v>2.7040000000000002</v>
      </c>
      <c r="T57" s="94">
        <v>-1.56</v>
      </c>
      <c r="U57" s="94">
        <v>7.883</v>
      </c>
      <c r="V57" s="95">
        <v>0.46700000000000003</v>
      </c>
      <c r="W57" s="95">
        <f t="shared" si="0"/>
        <v>2.1063048245884231</v>
      </c>
    </row>
    <row r="58" spans="1:23" x14ac:dyDescent="0.35">
      <c r="A58" s="85" t="s">
        <v>582</v>
      </c>
      <c r="B58" s="85" t="s">
        <v>632</v>
      </c>
      <c r="C58" s="93">
        <v>6.0178655257344227</v>
      </c>
      <c r="D58" s="94">
        <v>6.6428861766961944</v>
      </c>
      <c r="E58" s="95">
        <v>8.3305963840047514</v>
      </c>
      <c r="G58" s="107" t="s">
        <v>580</v>
      </c>
      <c r="H58" s="105">
        <v>58.357971531116526</v>
      </c>
      <c r="I58" s="97">
        <v>128</v>
      </c>
      <c r="J58" s="98">
        <v>31</v>
      </c>
      <c r="K58" s="85"/>
      <c r="L58" s="93">
        <v>8.6478116333741841</v>
      </c>
      <c r="M58" s="94">
        <v>10.582270048267214</v>
      </c>
      <c r="N58" s="94">
        <v>10.257492961005118</v>
      </c>
      <c r="O58" s="94">
        <v>10.4</v>
      </c>
      <c r="P58" s="94">
        <v>8</v>
      </c>
      <c r="Q58" s="94">
        <v>10.210000000000001</v>
      </c>
      <c r="R58" s="94">
        <v>7.7030000000000003</v>
      </c>
      <c r="S58" s="94">
        <v>9.0370000000000008</v>
      </c>
      <c r="T58" s="94">
        <v>6.0570000000000004</v>
      </c>
      <c r="U58" s="94">
        <v>6.2649999999999997</v>
      </c>
      <c r="V58" s="95">
        <v>6.3579999999999997</v>
      </c>
      <c r="W58" s="95">
        <f t="shared" si="0"/>
        <v>7.4867412803504729</v>
      </c>
    </row>
    <row r="59" spans="1:23" x14ac:dyDescent="0.35">
      <c r="A59" s="85" t="s">
        <v>227</v>
      </c>
      <c r="B59" s="85" t="s">
        <v>633</v>
      </c>
      <c r="C59" s="93">
        <v>0.92513707934396283</v>
      </c>
      <c r="D59" s="94">
        <v>1.065704979127502</v>
      </c>
      <c r="E59" s="95">
        <v>1.0351636365421246</v>
      </c>
      <c r="G59" s="107" t="s">
        <v>417</v>
      </c>
      <c r="H59" s="105">
        <v>97.443307672167862</v>
      </c>
      <c r="I59" s="97">
        <v>5</v>
      </c>
      <c r="J59" s="98">
        <v>3</v>
      </c>
      <c r="K59" s="85"/>
      <c r="L59" s="93">
        <v>-1.3973545576374944</v>
      </c>
      <c r="M59" s="94">
        <v>-0.90201849743960727</v>
      </c>
      <c r="N59" s="94">
        <v>-0.36494028121428063</v>
      </c>
      <c r="O59" s="94">
        <v>0.54400000000000004</v>
      </c>
      <c r="P59" s="94">
        <v>2.8109999999999999</v>
      </c>
      <c r="Q59" s="94">
        <v>3.1920000000000002</v>
      </c>
      <c r="R59" s="94">
        <v>1.1399999999999999</v>
      </c>
      <c r="S59" s="94">
        <v>1.224</v>
      </c>
      <c r="T59" s="94">
        <v>-2.355</v>
      </c>
      <c r="U59" s="94">
        <v>3.0459999999999998</v>
      </c>
      <c r="V59" s="95">
        <v>2.0840000000000001</v>
      </c>
      <c r="W59" s="95">
        <f t="shared" si="0"/>
        <v>1.0504343078348133</v>
      </c>
    </row>
    <row r="60" spans="1:23" x14ac:dyDescent="0.35">
      <c r="A60" s="85" t="s">
        <v>227</v>
      </c>
      <c r="B60" s="85" t="s">
        <v>634</v>
      </c>
      <c r="C60" s="93">
        <v>0.35484098705607092</v>
      </c>
      <c r="D60" s="94">
        <v>0.85541697677951056</v>
      </c>
      <c r="E60" s="95">
        <v>1.0299722548507528</v>
      </c>
      <c r="G60" s="107" t="s">
        <v>417</v>
      </c>
      <c r="H60" s="105">
        <v>94.937245038342397</v>
      </c>
      <c r="I60" s="97">
        <v>20</v>
      </c>
      <c r="J60" s="98">
        <v>13</v>
      </c>
      <c r="K60" s="85"/>
      <c r="L60" s="93">
        <v>0.31313474167845923</v>
      </c>
      <c r="M60" s="94">
        <v>0.5763266794418439</v>
      </c>
      <c r="N60" s="94">
        <v>0.95618304768384532</v>
      </c>
      <c r="O60" s="94">
        <v>1.0549999999999999</v>
      </c>
      <c r="P60" s="94">
        <v>0.98199999999999998</v>
      </c>
      <c r="Q60" s="94">
        <v>2.4489999999999998</v>
      </c>
      <c r="R60" s="94">
        <v>1.8240000000000001</v>
      </c>
      <c r="S60" s="94">
        <v>1.8839999999999999</v>
      </c>
      <c r="T60" s="94">
        <v>-7.907</v>
      </c>
      <c r="U60" s="94">
        <v>6.77</v>
      </c>
      <c r="V60" s="95">
        <v>2.6059999999999999</v>
      </c>
      <c r="W60" s="95">
        <f t="shared" si="0"/>
        <v>0.9426946158151317</v>
      </c>
    </row>
    <row r="61" spans="1:23" x14ac:dyDescent="0.35">
      <c r="A61" s="85" t="s">
        <v>582</v>
      </c>
      <c r="B61" s="85" t="s">
        <v>635</v>
      </c>
      <c r="C61" s="93">
        <v>0.80490169914342324</v>
      </c>
      <c r="D61" s="94">
        <v>1.4271603442411074</v>
      </c>
      <c r="E61" s="95">
        <v>2.3419356903168431</v>
      </c>
      <c r="G61" s="107" t="s">
        <v>580</v>
      </c>
      <c r="H61" s="105">
        <v>37.219050826761183</v>
      </c>
      <c r="I61" s="97">
        <v>153</v>
      </c>
      <c r="J61" s="98">
        <v>46</v>
      </c>
      <c r="K61" s="85"/>
      <c r="L61" s="93">
        <v>5.251076917504065</v>
      </c>
      <c r="M61" s="94">
        <v>5.6386990033869457</v>
      </c>
      <c r="N61" s="94">
        <v>4.3149644410747063</v>
      </c>
      <c r="O61" s="94">
        <v>3.879</v>
      </c>
      <c r="P61" s="94">
        <v>2.0910000000000002</v>
      </c>
      <c r="Q61" s="94">
        <v>0.47299999999999998</v>
      </c>
      <c r="R61" s="94">
        <v>0.84299999999999997</v>
      </c>
      <c r="S61" s="94">
        <v>3.915</v>
      </c>
      <c r="T61" s="94">
        <v>-1.8640000000000001</v>
      </c>
      <c r="U61" s="94">
        <v>1.484</v>
      </c>
      <c r="V61" s="95">
        <v>2.8479999999999999</v>
      </c>
      <c r="W61" s="95">
        <f t="shared" si="0"/>
        <v>1.8845480172789753</v>
      </c>
    </row>
    <row r="62" spans="1:23" x14ac:dyDescent="0.35">
      <c r="A62" s="85" t="s">
        <v>582</v>
      </c>
      <c r="B62" s="85" t="s">
        <v>636</v>
      </c>
      <c r="C62" s="93">
        <v>3.0839257560593802</v>
      </c>
      <c r="D62" s="94">
        <v>4.5260960958580343</v>
      </c>
      <c r="E62" s="95">
        <v>3.4750911540431417</v>
      </c>
      <c r="G62" s="107" t="s">
        <v>424</v>
      </c>
      <c r="H62" s="105">
        <v>65.416670727464805</v>
      </c>
      <c r="I62" s="97">
        <v>114</v>
      </c>
      <c r="J62" s="98">
        <v>26</v>
      </c>
      <c r="K62" s="85"/>
      <c r="L62" s="93">
        <v>5.2415692463074244</v>
      </c>
      <c r="M62" s="94">
        <v>2.8727687903269969</v>
      </c>
      <c r="N62" s="94">
        <v>-1.4073824951095362</v>
      </c>
      <c r="O62" s="94">
        <v>4.0579999999999998</v>
      </c>
      <c r="P62" s="94">
        <v>1.9430000000000001</v>
      </c>
      <c r="Q62" s="94">
        <v>4.8230000000000004</v>
      </c>
      <c r="R62" s="94">
        <v>7.2350000000000003</v>
      </c>
      <c r="S62" s="94">
        <v>6.2220000000000004</v>
      </c>
      <c r="T62" s="94">
        <v>0.59099999999999997</v>
      </c>
      <c r="U62" s="94">
        <v>4.2649999999999997</v>
      </c>
      <c r="V62" s="95">
        <v>4.4409999999999998</v>
      </c>
      <c r="W62" s="95">
        <f t="shared" si="0"/>
        <v>4.0005936249505876</v>
      </c>
    </row>
    <row r="63" spans="1:23" x14ac:dyDescent="0.35">
      <c r="A63" s="85" t="s">
        <v>227</v>
      </c>
      <c r="B63" s="85" t="s">
        <v>637</v>
      </c>
      <c r="C63" s="93">
        <v>4.283743954922925</v>
      </c>
      <c r="D63" s="94">
        <v>4.5348375618438741</v>
      </c>
      <c r="E63" s="95">
        <v>4.1477466898679483</v>
      </c>
      <c r="G63" s="107" t="s">
        <v>584</v>
      </c>
      <c r="H63" s="105">
        <v>80.727500391697276</v>
      </c>
      <c r="I63" s="97">
        <v>46</v>
      </c>
      <c r="J63" s="98">
        <v>31</v>
      </c>
      <c r="K63" s="85"/>
      <c r="L63" s="93">
        <v>6.3690083063386043</v>
      </c>
      <c r="M63" s="94">
        <v>3.6213053519627643</v>
      </c>
      <c r="N63" s="94">
        <v>4.4319248230907649</v>
      </c>
      <c r="O63" s="94">
        <v>3.0270000000000001</v>
      </c>
      <c r="P63" s="94">
        <v>2.9060000000000001</v>
      </c>
      <c r="Q63" s="94">
        <v>4.843</v>
      </c>
      <c r="R63" s="94">
        <v>4.843</v>
      </c>
      <c r="S63" s="94">
        <v>4.9820000000000002</v>
      </c>
      <c r="T63" s="94">
        <v>-6.76</v>
      </c>
      <c r="U63" s="94">
        <v>10.465999999999999</v>
      </c>
      <c r="V63" s="95">
        <v>10.109</v>
      </c>
      <c r="W63" s="95">
        <f t="shared" si="0"/>
        <v>4.3412921258559116</v>
      </c>
    </row>
    <row r="64" spans="1:23" x14ac:dyDescent="0.35">
      <c r="A64" s="85" t="s">
        <v>227</v>
      </c>
      <c r="B64" s="85" t="s">
        <v>638</v>
      </c>
      <c r="C64" s="93">
        <v>0.19639292345923209</v>
      </c>
      <c r="D64" s="94">
        <v>0.54722001304448042</v>
      </c>
      <c r="E64" s="95">
        <v>1.1791658469401556</v>
      </c>
      <c r="G64" s="107" t="s">
        <v>417</v>
      </c>
      <c r="H64" s="105">
        <v>96.79194200114037</v>
      </c>
      <c r="I64" s="97">
        <v>8</v>
      </c>
      <c r="J64" s="98">
        <v>6</v>
      </c>
      <c r="K64" s="85"/>
      <c r="L64" s="93">
        <v>0.41955108005357267</v>
      </c>
      <c r="M64" s="94">
        <v>0.42824326167218907</v>
      </c>
      <c r="N64" s="94">
        <v>2.2256887491492803</v>
      </c>
      <c r="O64" s="94">
        <v>1.4870000000000001</v>
      </c>
      <c r="P64" s="94">
        <v>2.23</v>
      </c>
      <c r="Q64" s="94">
        <v>2.68</v>
      </c>
      <c r="R64" s="94">
        <v>0.98399999999999999</v>
      </c>
      <c r="S64" s="94">
        <v>1.054</v>
      </c>
      <c r="T64" s="94">
        <v>-3.6920000000000002</v>
      </c>
      <c r="U64" s="94">
        <v>2.625</v>
      </c>
      <c r="V64" s="95">
        <v>1.778</v>
      </c>
      <c r="W64" s="95">
        <f t="shared" si="0"/>
        <v>0.863192929992318</v>
      </c>
    </row>
    <row r="65" spans="1:23" x14ac:dyDescent="0.35">
      <c r="A65" s="85" t="s">
        <v>582</v>
      </c>
      <c r="B65" s="85" t="s">
        <v>639</v>
      </c>
      <c r="C65" s="93">
        <v>3.0107142168638523</v>
      </c>
      <c r="D65" s="94">
        <v>4.8285507296226937</v>
      </c>
      <c r="E65" s="95">
        <v>4.7980640567336197</v>
      </c>
      <c r="G65" s="107" t="s">
        <v>401</v>
      </c>
      <c r="H65" s="105">
        <v>69.704517199471169</v>
      </c>
      <c r="I65" s="97">
        <v>89</v>
      </c>
      <c r="J65" s="98">
        <v>13</v>
      </c>
      <c r="K65" s="85"/>
      <c r="L65" s="93">
        <v>9.2927894045967889</v>
      </c>
      <c r="M65" s="94">
        <v>7.3125250073312458</v>
      </c>
      <c r="N65" s="94">
        <v>2.8974388369154251</v>
      </c>
      <c r="O65" s="94">
        <v>2.121</v>
      </c>
      <c r="P65" s="94">
        <v>3.3730000000000002</v>
      </c>
      <c r="Q65" s="94">
        <v>8.1289999999999996</v>
      </c>
      <c r="R65" s="94">
        <v>6.2</v>
      </c>
      <c r="S65" s="94">
        <v>6.508</v>
      </c>
      <c r="T65" s="94">
        <v>0.51400000000000001</v>
      </c>
      <c r="U65" s="94">
        <v>5.3559999999999999</v>
      </c>
      <c r="V65" s="95">
        <v>3.2189999999999999</v>
      </c>
      <c r="W65" s="95">
        <f t="shared" si="0"/>
        <v>4.8133073931781567</v>
      </c>
    </row>
    <row r="66" spans="1:23" x14ac:dyDescent="0.35">
      <c r="A66" s="85" t="s">
        <v>227</v>
      </c>
      <c r="B66" s="85" t="s">
        <v>640</v>
      </c>
      <c r="C66" s="93">
        <v>1.4800990034344652</v>
      </c>
      <c r="D66" s="94">
        <v>1.2580147511245698</v>
      </c>
      <c r="E66" s="95">
        <v>0.45671215262543807</v>
      </c>
      <c r="G66" s="107" t="s">
        <v>417</v>
      </c>
      <c r="H66" s="105">
        <v>87.308557455608167</v>
      </c>
      <c r="I66" s="97">
        <v>31</v>
      </c>
      <c r="J66" s="98">
        <v>20</v>
      </c>
      <c r="K66" s="85"/>
      <c r="L66" s="93">
        <v>-7.3004939606978656</v>
      </c>
      <c r="M66" s="94">
        <v>-3.2414250560129267</v>
      </c>
      <c r="N66" s="94">
        <v>0.73977713855774985</v>
      </c>
      <c r="O66" s="94">
        <v>-0.19600000000000001</v>
      </c>
      <c r="P66" s="94">
        <v>-0.48699999999999999</v>
      </c>
      <c r="Q66" s="94">
        <v>1.0920000000000001</v>
      </c>
      <c r="R66" s="94">
        <v>1.6679999999999999</v>
      </c>
      <c r="S66" s="94">
        <v>1.8839999999999999</v>
      </c>
      <c r="T66" s="94">
        <v>-9.0039999999999996</v>
      </c>
      <c r="U66" s="94">
        <v>8.4339999999999993</v>
      </c>
      <c r="V66" s="95">
        <v>5.9139999999999997</v>
      </c>
      <c r="W66" s="95">
        <f t="shared" si="0"/>
        <v>0.85736345187500396</v>
      </c>
    </row>
    <row r="67" spans="1:23" x14ac:dyDescent="0.35">
      <c r="A67" s="85" t="s">
        <v>586</v>
      </c>
      <c r="B67" s="85" t="s">
        <v>641</v>
      </c>
      <c r="C67" s="93">
        <v>3.3306625930319189</v>
      </c>
      <c r="D67" s="94">
        <v>3.4919746764532578</v>
      </c>
      <c r="E67" s="95">
        <v>3.5384372691175781</v>
      </c>
      <c r="G67" s="107" t="s">
        <v>401</v>
      </c>
      <c r="H67" s="105">
        <v>71.336652243067974</v>
      </c>
      <c r="I67" s="97">
        <v>82</v>
      </c>
      <c r="J67" s="98">
        <v>10</v>
      </c>
      <c r="K67" s="85"/>
      <c r="L67" s="93">
        <v>2.9698574079878068</v>
      </c>
      <c r="M67" s="94">
        <v>3.6975861001947585</v>
      </c>
      <c r="N67" s="94">
        <v>4.4439780738522474</v>
      </c>
      <c r="O67" s="94">
        <v>4.0919999999999996</v>
      </c>
      <c r="P67" s="94">
        <v>2.6779999999999999</v>
      </c>
      <c r="Q67" s="94">
        <v>3.08</v>
      </c>
      <c r="R67" s="94">
        <v>3.407</v>
      </c>
      <c r="S67" s="94">
        <v>4.0019999999999998</v>
      </c>
      <c r="T67" s="94">
        <v>-1.764</v>
      </c>
      <c r="U67" s="94">
        <v>7.9809999999999999</v>
      </c>
      <c r="V67" s="95">
        <v>4.0090000000000003</v>
      </c>
      <c r="W67" s="95">
        <f t="shared" si="0"/>
        <v>3.5152059727854179</v>
      </c>
    </row>
    <row r="68" spans="1:23" x14ac:dyDescent="0.35">
      <c r="A68" s="85" t="s">
        <v>582</v>
      </c>
      <c r="B68" s="85" t="s">
        <v>642</v>
      </c>
      <c r="C68" s="93">
        <v>4.3705772513408236</v>
      </c>
      <c r="D68" s="94">
        <v>4.9898667622307658</v>
      </c>
      <c r="E68" s="95">
        <v>5.729233966321412</v>
      </c>
      <c r="G68" s="107" t="s">
        <v>580</v>
      </c>
      <c r="H68" s="105">
        <v>50.297438492745087</v>
      </c>
      <c r="I68" s="97">
        <v>138</v>
      </c>
      <c r="J68" s="98">
        <v>36</v>
      </c>
      <c r="K68" s="85"/>
      <c r="L68" s="93">
        <v>5.9152881384417997</v>
      </c>
      <c r="M68" s="94">
        <v>3.9456854305126305</v>
      </c>
      <c r="N68" s="94">
        <v>3.6965411823164165</v>
      </c>
      <c r="O68" s="94">
        <v>3.8260000000000001</v>
      </c>
      <c r="P68" s="94">
        <v>10.821</v>
      </c>
      <c r="Q68" s="94">
        <v>10.3</v>
      </c>
      <c r="R68" s="94">
        <v>6.3579999999999997</v>
      </c>
      <c r="S68" s="94">
        <v>5.617</v>
      </c>
      <c r="T68" s="94">
        <v>4.92</v>
      </c>
      <c r="U68" s="94">
        <v>4.2919999999999998</v>
      </c>
      <c r="V68" s="95">
        <v>4.2939999999999996</v>
      </c>
      <c r="W68" s="95">
        <f t="shared" si="0"/>
        <v>5.3595503642760889</v>
      </c>
    </row>
    <row r="69" spans="1:23" x14ac:dyDescent="0.35">
      <c r="A69" s="85" t="s">
        <v>582</v>
      </c>
      <c r="B69" s="85" t="s">
        <v>643</v>
      </c>
      <c r="C69" s="93">
        <v>1.5927018196488341</v>
      </c>
      <c r="D69" s="94">
        <v>2.1053991541019057</v>
      </c>
      <c r="E69" s="95">
        <v>3.2889383993762955</v>
      </c>
      <c r="G69" s="107" t="s">
        <v>580</v>
      </c>
      <c r="H69" s="105">
        <v>54.70982708603303</v>
      </c>
      <c r="I69" s="97">
        <v>134</v>
      </c>
      <c r="J69" s="98">
        <v>34</v>
      </c>
      <c r="K69" s="85"/>
      <c r="L69" s="93">
        <v>-1.7126830118107121</v>
      </c>
      <c r="M69" s="94">
        <v>3.255904265176933</v>
      </c>
      <c r="N69" s="94">
        <v>0.96456075098132787</v>
      </c>
      <c r="O69" s="94">
        <v>6.1340000000000003</v>
      </c>
      <c r="P69" s="94">
        <v>5.3070000000000004</v>
      </c>
      <c r="Q69" s="94">
        <v>4.7889999999999997</v>
      </c>
      <c r="R69" s="94">
        <v>3.7610000000000001</v>
      </c>
      <c r="S69" s="94">
        <v>4.5</v>
      </c>
      <c r="T69" s="94">
        <v>1.5</v>
      </c>
      <c r="U69" s="94">
        <v>6.4</v>
      </c>
      <c r="V69" s="95">
        <v>3.5</v>
      </c>
      <c r="W69" s="95">
        <f t="shared" si="0"/>
        <v>2.6971687767391006</v>
      </c>
    </row>
    <row r="70" spans="1:23" x14ac:dyDescent="0.35">
      <c r="A70" s="85" t="s">
        <v>586</v>
      </c>
      <c r="B70" s="85" t="s">
        <v>644</v>
      </c>
      <c r="C70" s="93">
        <v>40.872083180158647</v>
      </c>
      <c r="D70" s="94">
        <v>25.198248131969379</v>
      </c>
      <c r="E70" s="95">
        <v>13.395686805616647</v>
      </c>
      <c r="G70" s="107" t="s">
        <v>580</v>
      </c>
      <c r="H70" s="105">
        <v>56.740934863022261</v>
      </c>
      <c r="I70" s="97">
        <v>129</v>
      </c>
      <c r="J70" s="98">
        <v>21</v>
      </c>
      <c r="K70" s="85"/>
      <c r="L70" s="93">
        <v>5.3836234687298372</v>
      </c>
      <c r="M70" s="94">
        <v>3.6535047680067998</v>
      </c>
      <c r="N70" s="94">
        <v>1.6860277321410588</v>
      </c>
      <c r="O70" s="94">
        <v>0.68700000000000006</v>
      </c>
      <c r="P70" s="94">
        <v>3.8069999999999999</v>
      </c>
      <c r="Q70" s="94">
        <v>3.734</v>
      </c>
      <c r="R70" s="94">
        <v>4.4409999999999998</v>
      </c>
      <c r="S70" s="94">
        <v>5.3529999999999998</v>
      </c>
      <c r="T70" s="94">
        <v>43.48</v>
      </c>
      <c r="U70" s="94">
        <v>20.059999999999999</v>
      </c>
      <c r="V70" s="95">
        <v>62.287999999999997</v>
      </c>
      <c r="W70" s="95">
        <f t="shared" si="0"/>
        <v>19.296967468793014</v>
      </c>
    </row>
    <row r="71" spans="1:23" x14ac:dyDescent="0.35">
      <c r="A71" s="85" t="s">
        <v>586</v>
      </c>
      <c r="B71" s="85" t="s">
        <v>645</v>
      </c>
      <c r="C71" s="93">
        <v>-0.34574931867293879</v>
      </c>
      <c r="D71" s="94">
        <v>0.64565822904871784</v>
      </c>
      <c r="E71" s="95">
        <v>2.5156599586003026</v>
      </c>
      <c r="G71" s="107" t="s">
        <v>580</v>
      </c>
      <c r="H71" s="105">
        <v>54.401198784391461</v>
      </c>
      <c r="I71" s="97">
        <v>135</v>
      </c>
      <c r="J71" s="98">
        <v>22</v>
      </c>
      <c r="K71" s="85"/>
      <c r="L71" s="93">
        <v>-7.4695954800602468E-2</v>
      </c>
      <c r="M71" s="94">
        <v>9.2111856449685803</v>
      </c>
      <c r="N71" s="94">
        <v>1.9148137793287729</v>
      </c>
      <c r="O71" s="94">
        <v>2.5630000000000002</v>
      </c>
      <c r="P71" s="94">
        <v>1.8120000000000001</v>
      </c>
      <c r="Q71" s="94">
        <v>2.5099999999999998</v>
      </c>
      <c r="R71" s="94">
        <v>1.6679999999999999</v>
      </c>
      <c r="S71" s="94">
        <v>-1.6850000000000001</v>
      </c>
      <c r="T71" s="94">
        <v>-3.343</v>
      </c>
      <c r="U71" s="94">
        <v>-1.798</v>
      </c>
      <c r="V71" s="95">
        <v>-1.6819999999999999</v>
      </c>
      <c r="W71" s="95">
        <f t="shared" si="0"/>
        <v>1.5806590938245102</v>
      </c>
    </row>
    <row r="72" spans="1:23" x14ac:dyDescent="0.35">
      <c r="A72" s="85" t="s">
        <v>586</v>
      </c>
      <c r="B72" s="85" t="s">
        <v>646</v>
      </c>
      <c r="C72" s="93">
        <v>2.1352529558121391</v>
      </c>
      <c r="D72" s="94">
        <v>2.5786313755856494</v>
      </c>
      <c r="E72" s="95">
        <v>3.1291474397337593</v>
      </c>
      <c r="G72" s="107" t="s">
        <v>580</v>
      </c>
      <c r="H72" s="105">
        <v>39.565152370912173</v>
      </c>
      <c r="I72" s="97">
        <v>152</v>
      </c>
      <c r="J72" s="98">
        <v>24</v>
      </c>
      <c r="K72" s="85"/>
      <c r="L72" s="93">
        <v>4.1286877486693667</v>
      </c>
      <c r="M72" s="94">
        <v>2.7915597574680358</v>
      </c>
      <c r="N72" s="94">
        <v>3.0580805621437066</v>
      </c>
      <c r="O72" s="94">
        <v>3.84</v>
      </c>
      <c r="P72" s="94">
        <v>3.8929999999999998</v>
      </c>
      <c r="Q72" s="94">
        <v>4.843</v>
      </c>
      <c r="R72" s="94">
        <v>3.8450000000000002</v>
      </c>
      <c r="S72" s="94">
        <v>2.653</v>
      </c>
      <c r="T72" s="94">
        <v>-8.9649999999999999</v>
      </c>
      <c r="U72" s="94">
        <v>12.534000000000001</v>
      </c>
      <c r="V72" s="95">
        <v>4</v>
      </c>
      <c r="W72" s="95">
        <f t="shared" si="0"/>
        <v>2.8538894076597043</v>
      </c>
    </row>
    <row r="73" spans="1:23" x14ac:dyDescent="0.35">
      <c r="A73" s="85" t="s">
        <v>578</v>
      </c>
      <c r="B73" s="85" t="s">
        <v>647</v>
      </c>
      <c r="C73" s="93">
        <v>-1.3866109004180949</v>
      </c>
      <c r="D73" s="94">
        <v>-0.61127068207094126</v>
      </c>
      <c r="E73" s="95">
        <v>1.1000622223137801</v>
      </c>
      <c r="G73" s="107" t="s">
        <v>417</v>
      </c>
      <c r="H73" s="105">
        <v>95.561927385722356</v>
      </c>
      <c r="I73" s="97">
        <v>18</v>
      </c>
      <c r="J73" s="98">
        <v>5</v>
      </c>
      <c r="K73" s="85"/>
      <c r="L73" s="93">
        <v>1.7002747714417163</v>
      </c>
      <c r="M73" s="94">
        <v>3.1015497799994041</v>
      </c>
      <c r="N73" s="94">
        <v>2.7623919976975242</v>
      </c>
      <c r="O73" s="94">
        <v>2.3879999999999999</v>
      </c>
      <c r="P73" s="94">
        <v>2.1749999999999998</v>
      </c>
      <c r="Q73" s="94">
        <v>3.7959999999999998</v>
      </c>
      <c r="R73" s="94">
        <v>2.847</v>
      </c>
      <c r="S73" s="94">
        <v>-1.6719999999999999</v>
      </c>
      <c r="T73" s="94">
        <v>-6.5449999999999999</v>
      </c>
      <c r="U73" s="94">
        <v>6.4480000000000004</v>
      </c>
      <c r="V73" s="95">
        <v>-3.5070000000000001</v>
      </c>
      <c r="W73" s="95">
        <f t="shared" si="0"/>
        <v>0.24439577012141944</v>
      </c>
    </row>
    <row r="74" spans="1:23" x14ac:dyDescent="0.35">
      <c r="A74" s="85" t="s">
        <v>227</v>
      </c>
      <c r="B74" s="85" t="s">
        <v>648</v>
      </c>
      <c r="C74" s="93">
        <v>2.362570497371097</v>
      </c>
      <c r="D74" s="94">
        <v>3.4329643388785636</v>
      </c>
      <c r="E74" s="95">
        <v>3.366609258538622</v>
      </c>
      <c r="G74" s="107" t="s">
        <v>401</v>
      </c>
      <c r="H74" s="105">
        <v>75.842312832768172</v>
      </c>
      <c r="I74" s="97">
        <v>67</v>
      </c>
      <c r="J74" s="98">
        <v>37</v>
      </c>
      <c r="K74" s="85"/>
      <c r="L74" s="93">
        <v>-1.4717888510830746</v>
      </c>
      <c r="M74" s="94">
        <v>1.9629840486290608</v>
      </c>
      <c r="N74" s="94">
        <v>4.1950824094780925</v>
      </c>
      <c r="O74" s="94">
        <v>3.7069999999999999</v>
      </c>
      <c r="P74" s="94">
        <v>2.2010000000000001</v>
      </c>
      <c r="Q74" s="94">
        <v>4.2720000000000002</v>
      </c>
      <c r="R74" s="94">
        <v>5.3620000000000001</v>
      </c>
      <c r="S74" s="94">
        <v>4.8579999999999997</v>
      </c>
      <c r="T74" s="94">
        <v>-4.5469999999999997</v>
      </c>
      <c r="U74" s="94">
        <v>7.117</v>
      </c>
      <c r="V74" s="95">
        <v>4.9000000000000004</v>
      </c>
      <c r="W74" s="95">
        <f t="shared" si="0"/>
        <v>3.3997867987085928</v>
      </c>
    </row>
    <row r="75" spans="1:23" x14ac:dyDescent="0.35">
      <c r="A75" s="85" t="s">
        <v>227</v>
      </c>
      <c r="B75" s="85" t="s">
        <v>649</v>
      </c>
      <c r="C75" s="93">
        <v>1.1623871589995449</v>
      </c>
      <c r="D75" s="94">
        <v>2.1481166990517275</v>
      </c>
      <c r="E75" s="95">
        <v>3.1810733517810608</v>
      </c>
      <c r="G75" s="107" t="s">
        <v>417</v>
      </c>
      <c r="H75" s="105">
        <v>95.11269526919466</v>
      </c>
      <c r="I75" s="97">
        <v>19</v>
      </c>
      <c r="J75" s="98">
        <v>12</v>
      </c>
      <c r="K75" s="85"/>
      <c r="L75" s="93">
        <v>1.0636366074376145</v>
      </c>
      <c r="M75" s="94">
        <v>4.5524603201510816</v>
      </c>
      <c r="N75" s="94">
        <v>1.687215017506406</v>
      </c>
      <c r="O75" s="94">
        <v>4.4370000000000003</v>
      </c>
      <c r="P75" s="94">
        <v>6.3040000000000003</v>
      </c>
      <c r="Q75" s="94">
        <v>4.1950000000000003</v>
      </c>
      <c r="R75" s="94">
        <v>4.8890000000000002</v>
      </c>
      <c r="S75" s="94">
        <v>1.8049999999999999</v>
      </c>
      <c r="T75" s="94">
        <v>-7.242</v>
      </c>
      <c r="U75" s="94">
        <v>4.3330000000000002</v>
      </c>
      <c r="V75" s="95">
        <v>6.4450000000000003</v>
      </c>
      <c r="W75" s="95">
        <f t="shared" ref="W75:W138" si="1">AVERAGE(D75,E75)</f>
        <v>2.6645950254163941</v>
      </c>
    </row>
    <row r="76" spans="1:23" x14ac:dyDescent="0.35">
      <c r="A76" s="85" t="s">
        <v>578</v>
      </c>
      <c r="B76" s="85" t="s">
        <v>650</v>
      </c>
      <c r="C76" s="93">
        <v>2.7398620097403459</v>
      </c>
      <c r="D76" s="94">
        <v>3.6623835250989556</v>
      </c>
      <c r="E76" s="95">
        <v>5.5227254922200597</v>
      </c>
      <c r="G76" s="107" t="s">
        <v>424</v>
      </c>
      <c r="H76" s="105">
        <v>66.198052259063019</v>
      </c>
      <c r="I76" s="97">
        <v>109</v>
      </c>
      <c r="J76" s="98">
        <v>21</v>
      </c>
      <c r="K76" s="85"/>
      <c r="L76" s="93">
        <v>5.4563589507228496</v>
      </c>
      <c r="M76" s="94">
        <v>6.3861064009482602</v>
      </c>
      <c r="N76" s="94">
        <v>7.410227605088517</v>
      </c>
      <c r="O76" s="94">
        <v>7.9960000000000004</v>
      </c>
      <c r="P76" s="94">
        <v>8.2560000000000002</v>
      </c>
      <c r="Q76" s="94">
        <v>6.7949999999999999</v>
      </c>
      <c r="R76" s="94">
        <v>6.4539999999999997</v>
      </c>
      <c r="S76" s="94">
        <v>3.871</v>
      </c>
      <c r="T76" s="94">
        <v>-5.8310000000000004</v>
      </c>
      <c r="U76" s="94">
        <v>9.0500000000000007</v>
      </c>
      <c r="V76" s="95">
        <v>6.8310000000000004</v>
      </c>
      <c r="W76" s="95">
        <f t="shared" si="1"/>
        <v>4.5925545086595072</v>
      </c>
    </row>
    <row r="77" spans="1:23" x14ac:dyDescent="0.35">
      <c r="A77" s="85" t="s">
        <v>578</v>
      </c>
      <c r="B77" s="85" t="s">
        <v>651</v>
      </c>
      <c r="C77" s="93">
        <v>2.2622053552423305</v>
      </c>
      <c r="D77" s="94">
        <v>3.3867361875690394</v>
      </c>
      <c r="E77" s="95">
        <v>4.2439953782461792</v>
      </c>
      <c r="G77" s="107" t="s">
        <v>401</v>
      </c>
      <c r="H77" s="105">
        <v>71.158529876167961</v>
      </c>
      <c r="I77" s="97">
        <v>83</v>
      </c>
      <c r="J77" s="98">
        <v>14</v>
      </c>
      <c r="K77" s="85"/>
      <c r="L77" s="93">
        <v>6.0300506530561035</v>
      </c>
      <c r="M77" s="94">
        <v>5.5572636889101181</v>
      </c>
      <c r="N77" s="94">
        <v>5.0066684257549943</v>
      </c>
      <c r="O77" s="94">
        <v>4.8760000000000003</v>
      </c>
      <c r="P77" s="94">
        <v>5.0330000000000004</v>
      </c>
      <c r="Q77" s="94">
        <v>5.07</v>
      </c>
      <c r="R77" s="94">
        <v>5.1740000000000004</v>
      </c>
      <c r="S77" s="94">
        <v>5.0190000000000001</v>
      </c>
      <c r="T77" s="94">
        <v>-2.0659999999999998</v>
      </c>
      <c r="U77" s="94">
        <v>3.7029999999999998</v>
      </c>
      <c r="V77" s="95">
        <v>5.3090000000000002</v>
      </c>
      <c r="W77" s="95">
        <f t="shared" si="1"/>
        <v>3.8153657829076093</v>
      </c>
    </row>
    <row r="78" spans="1:23" x14ac:dyDescent="0.35">
      <c r="A78" s="85" t="s">
        <v>227</v>
      </c>
      <c r="B78" s="85" t="s">
        <v>652</v>
      </c>
      <c r="C78" s="93">
        <v>10.534737934438866</v>
      </c>
      <c r="D78" s="94">
        <v>8.9900271540683807</v>
      </c>
      <c r="E78" s="95">
        <v>9.0332345891797274</v>
      </c>
      <c r="G78" s="107" t="s">
        <v>417</v>
      </c>
      <c r="H78" s="105">
        <v>96.106887509545572</v>
      </c>
      <c r="I78" s="97">
        <v>12</v>
      </c>
      <c r="J78" s="98">
        <v>9</v>
      </c>
      <c r="K78" s="85"/>
      <c r="L78" s="93">
        <v>0.22571484300232808</v>
      </c>
      <c r="M78" s="94">
        <v>1.3516340039407124</v>
      </c>
      <c r="N78" s="94">
        <v>8.5566879851340367</v>
      </c>
      <c r="O78" s="94">
        <v>24.370999999999999</v>
      </c>
      <c r="P78" s="94">
        <v>2.0070000000000001</v>
      </c>
      <c r="Q78" s="94">
        <v>9.0050000000000008</v>
      </c>
      <c r="R78" s="94">
        <v>8.5280000000000005</v>
      </c>
      <c r="S78" s="94">
        <v>5.4409999999999998</v>
      </c>
      <c r="T78" s="94">
        <v>6.1840000000000002</v>
      </c>
      <c r="U78" s="94">
        <v>13.587999999999999</v>
      </c>
      <c r="V78" s="95">
        <v>11.97</v>
      </c>
      <c r="W78" s="95">
        <f t="shared" si="1"/>
        <v>9.0116308716240532</v>
      </c>
    </row>
    <row r="79" spans="1:23" x14ac:dyDescent="0.35">
      <c r="A79" s="85" t="s">
        <v>593</v>
      </c>
      <c r="B79" s="85" t="s">
        <v>653</v>
      </c>
      <c r="C79" s="93">
        <v>4.2964072248328211</v>
      </c>
      <c r="D79" s="94">
        <v>4.3056817639917977</v>
      </c>
      <c r="E79" s="95">
        <v>3.9225915638386066</v>
      </c>
      <c r="G79" s="107" t="s">
        <v>417</v>
      </c>
      <c r="H79" s="105">
        <v>91.08708937267636</v>
      </c>
      <c r="I79" s="97">
        <v>24</v>
      </c>
      <c r="J79" s="98">
        <v>2</v>
      </c>
      <c r="K79" s="85"/>
      <c r="L79" s="93">
        <v>2.2572375479441442</v>
      </c>
      <c r="M79" s="94">
        <v>4.1480545517150818</v>
      </c>
      <c r="N79" s="94">
        <v>3.7582001903069706</v>
      </c>
      <c r="O79" s="94">
        <v>2.4860000000000002</v>
      </c>
      <c r="P79" s="94">
        <v>4.5220000000000002</v>
      </c>
      <c r="Q79" s="94">
        <v>4.2759999999999998</v>
      </c>
      <c r="R79" s="94">
        <v>4.07</v>
      </c>
      <c r="S79" s="94">
        <v>4.1559999999999997</v>
      </c>
      <c r="T79" s="94">
        <v>-1.857</v>
      </c>
      <c r="U79" s="94">
        <v>8.6120000000000001</v>
      </c>
      <c r="V79" s="95">
        <v>6.4320000000000004</v>
      </c>
      <c r="W79" s="95">
        <f t="shared" si="1"/>
        <v>4.1141366639152022</v>
      </c>
    </row>
    <row r="80" spans="1:23" x14ac:dyDescent="0.35">
      <c r="A80" s="85" t="s">
        <v>227</v>
      </c>
      <c r="B80" s="85" t="s">
        <v>654</v>
      </c>
      <c r="C80" s="93">
        <v>0.2182802501019987</v>
      </c>
      <c r="D80" s="94">
        <v>0.31439174572445161</v>
      </c>
      <c r="E80" s="95">
        <v>0.34271436280863821</v>
      </c>
      <c r="G80" s="107" t="s">
        <v>417</v>
      </c>
      <c r="H80" s="105">
        <v>88.947746010825512</v>
      </c>
      <c r="I80" s="97">
        <v>29</v>
      </c>
      <c r="J80" s="98">
        <v>18</v>
      </c>
      <c r="K80" s="85"/>
      <c r="L80" s="93">
        <v>-2.9809057682377182</v>
      </c>
      <c r="M80" s="94">
        <v>-1.8410654508824811</v>
      </c>
      <c r="N80" s="94">
        <v>-4.5475423638333965E-3</v>
      </c>
      <c r="O80" s="94">
        <v>0.77800000000000002</v>
      </c>
      <c r="P80" s="94">
        <v>1.2929999999999999</v>
      </c>
      <c r="Q80" s="94">
        <v>1.6679999999999999</v>
      </c>
      <c r="R80" s="94">
        <v>0.92600000000000005</v>
      </c>
      <c r="S80" s="94">
        <v>0.48299999999999998</v>
      </c>
      <c r="T80" s="94">
        <v>-8.9789999999999992</v>
      </c>
      <c r="U80" s="94">
        <v>6.9870000000000001</v>
      </c>
      <c r="V80" s="95">
        <v>3.6749999999999998</v>
      </c>
      <c r="W80" s="95">
        <f t="shared" si="1"/>
        <v>0.32855305426654491</v>
      </c>
    </row>
    <row r="81" spans="1:23" x14ac:dyDescent="0.35">
      <c r="A81" s="85" t="s">
        <v>586</v>
      </c>
      <c r="B81" s="85" t="s">
        <v>655</v>
      </c>
      <c r="C81" s="93">
        <v>-0.70306474958997667</v>
      </c>
      <c r="D81" s="94">
        <v>0.12887839009743107</v>
      </c>
      <c r="E81" s="95">
        <v>0.51362317164571625</v>
      </c>
      <c r="G81" s="107" t="s">
        <v>580</v>
      </c>
      <c r="H81" s="105">
        <v>53.312824662633638</v>
      </c>
      <c r="I81" s="97">
        <v>137</v>
      </c>
      <c r="J81" s="98">
        <v>23</v>
      </c>
      <c r="K81" s="85"/>
      <c r="L81" s="93">
        <v>-0.61363603986913318</v>
      </c>
      <c r="M81" s="94">
        <v>0.51768601280242099</v>
      </c>
      <c r="N81" s="94">
        <v>0.68982235737431619</v>
      </c>
      <c r="O81" s="94">
        <v>0.86899999999999999</v>
      </c>
      <c r="P81" s="94">
        <v>1.498</v>
      </c>
      <c r="Q81" s="94">
        <v>0.67900000000000005</v>
      </c>
      <c r="R81" s="94">
        <v>1.827</v>
      </c>
      <c r="S81" s="94">
        <v>0.97</v>
      </c>
      <c r="T81" s="94">
        <v>-9.92</v>
      </c>
      <c r="U81" s="94">
        <v>4.601</v>
      </c>
      <c r="V81" s="95">
        <v>4</v>
      </c>
      <c r="W81" s="95">
        <f t="shared" si="1"/>
        <v>0.32125078087157366</v>
      </c>
    </row>
    <row r="82" spans="1:23" x14ac:dyDescent="0.35">
      <c r="A82" s="85" t="s">
        <v>578</v>
      </c>
      <c r="B82" s="85" t="s">
        <v>656</v>
      </c>
      <c r="C82" s="93">
        <v>-0.63095756344230258</v>
      </c>
      <c r="D82" s="94">
        <v>2.4039609383130767E-3</v>
      </c>
      <c r="E82" s="95">
        <v>0.62673306790392846</v>
      </c>
      <c r="G82" s="107" t="s">
        <v>417</v>
      </c>
      <c r="H82" s="105">
        <v>96.063700314273362</v>
      </c>
      <c r="I82" s="97">
        <v>13</v>
      </c>
      <c r="J82" s="98">
        <v>4</v>
      </c>
      <c r="K82" s="85"/>
      <c r="L82" s="93">
        <v>1.495089585949261</v>
      </c>
      <c r="M82" s="94">
        <v>2.0002678411015018</v>
      </c>
      <c r="N82" s="94">
        <v>0.3747194763313248</v>
      </c>
      <c r="O82" s="94">
        <v>1.5609999999999999</v>
      </c>
      <c r="P82" s="94">
        <v>0.754</v>
      </c>
      <c r="Q82" s="94">
        <v>1.675</v>
      </c>
      <c r="R82" s="94">
        <v>0.64300000000000002</v>
      </c>
      <c r="S82" s="94">
        <v>-0.40200000000000002</v>
      </c>
      <c r="T82" s="94">
        <v>-4.2789999999999999</v>
      </c>
      <c r="U82" s="94">
        <v>2.145</v>
      </c>
      <c r="V82" s="95">
        <v>1.075</v>
      </c>
      <c r="W82" s="95">
        <f t="shared" si="1"/>
        <v>0.31456851442112077</v>
      </c>
    </row>
    <row r="83" spans="1:23" x14ac:dyDescent="0.35">
      <c r="A83" s="85" t="s">
        <v>593</v>
      </c>
      <c r="B83" s="85" t="s">
        <v>657</v>
      </c>
      <c r="C83" s="93">
        <v>1.1049470799269878</v>
      </c>
      <c r="D83" s="94">
        <v>1.8757952650954479</v>
      </c>
      <c r="E83" s="95">
        <v>2.1806440475090172</v>
      </c>
      <c r="G83" s="107" t="s">
        <v>584</v>
      </c>
      <c r="H83" s="105">
        <v>79.514216326138751</v>
      </c>
      <c r="I83" s="97">
        <v>53</v>
      </c>
      <c r="J83" s="98">
        <v>5</v>
      </c>
      <c r="K83" s="85"/>
      <c r="L83" s="93">
        <v>2.6511707480297244</v>
      </c>
      <c r="M83" s="94">
        <v>2.8287666404585154</v>
      </c>
      <c r="N83" s="94">
        <v>3.0963303471105994</v>
      </c>
      <c r="O83" s="94">
        <v>2.496</v>
      </c>
      <c r="P83" s="94">
        <v>1.994</v>
      </c>
      <c r="Q83" s="94">
        <v>2.4740000000000002</v>
      </c>
      <c r="R83" s="94">
        <v>1.919</v>
      </c>
      <c r="S83" s="94">
        <v>1.927</v>
      </c>
      <c r="T83" s="94">
        <v>-1.57</v>
      </c>
      <c r="U83" s="94">
        <v>2.2280000000000002</v>
      </c>
      <c r="V83" s="95">
        <v>2.7109999999999999</v>
      </c>
      <c r="W83" s="95">
        <f t="shared" si="1"/>
        <v>2.0282196563022326</v>
      </c>
    </row>
    <row r="84" spans="1:23" x14ac:dyDescent="0.35">
      <c r="A84" s="85" t="s">
        <v>578</v>
      </c>
      <c r="B84" s="85" t="s">
        <v>658</v>
      </c>
      <c r="C84" s="93">
        <v>1.6270169093285825</v>
      </c>
      <c r="D84" s="94">
        <v>2.6878144462378906</v>
      </c>
      <c r="E84" s="95">
        <v>2.9947418753666133</v>
      </c>
      <c r="G84" s="107" t="s">
        <v>401</v>
      </c>
      <c r="H84" s="105">
        <v>70.400737065727981</v>
      </c>
      <c r="I84" s="97">
        <v>88</v>
      </c>
      <c r="J84" s="98">
        <v>16</v>
      </c>
      <c r="K84" s="85"/>
      <c r="L84" s="93">
        <v>4.7999999999927256</v>
      </c>
      <c r="M84" s="94">
        <v>5.9999999992556203</v>
      </c>
      <c r="N84" s="94">
        <v>4.2000000006304088</v>
      </c>
      <c r="O84" s="94">
        <v>1</v>
      </c>
      <c r="P84" s="94">
        <v>0.9</v>
      </c>
      <c r="Q84" s="94">
        <v>3.9009999999999998</v>
      </c>
      <c r="R84" s="94">
        <v>4.0999999999999996</v>
      </c>
      <c r="S84" s="94">
        <v>4.5</v>
      </c>
      <c r="T84" s="94">
        <v>-2.6</v>
      </c>
      <c r="U84" s="94">
        <v>4.0999999999999996</v>
      </c>
      <c r="V84" s="95">
        <v>3.214</v>
      </c>
      <c r="W84" s="95">
        <f t="shared" si="1"/>
        <v>2.8412781608022519</v>
      </c>
    </row>
    <row r="85" spans="1:23" x14ac:dyDescent="0.35">
      <c r="A85" s="85" t="s">
        <v>582</v>
      </c>
      <c r="B85" s="85" t="s">
        <v>659</v>
      </c>
      <c r="C85" s="93">
        <v>4.1600595320631983</v>
      </c>
      <c r="D85" s="94">
        <v>5.4481436952905637</v>
      </c>
      <c r="E85" s="95">
        <v>5.4875646773576481</v>
      </c>
      <c r="G85" s="107" t="s">
        <v>424</v>
      </c>
      <c r="H85" s="105">
        <v>68.853006787769303</v>
      </c>
      <c r="I85" s="97">
        <v>97</v>
      </c>
      <c r="J85" s="98">
        <v>18</v>
      </c>
      <c r="K85" s="85"/>
      <c r="L85" s="93">
        <v>4.5632091307112006</v>
      </c>
      <c r="M85" s="94">
        <v>5.8786805667541637</v>
      </c>
      <c r="N85" s="94">
        <v>5.3571256444996713</v>
      </c>
      <c r="O85" s="94">
        <v>4.968</v>
      </c>
      <c r="P85" s="94">
        <v>4.2140000000000004</v>
      </c>
      <c r="Q85" s="94">
        <v>3.8159999999999998</v>
      </c>
      <c r="R85" s="94">
        <v>5.6710000000000003</v>
      </c>
      <c r="S85" s="94">
        <v>5.1139999999999999</v>
      </c>
      <c r="T85" s="94">
        <v>-0.25</v>
      </c>
      <c r="U85" s="94">
        <v>7.5170000000000003</v>
      </c>
      <c r="V85" s="95">
        <v>5.3689999999999998</v>
      </c>
      <c r="W85" s="95">
        <f t="shared" si="1"/>
        <v>5.4678541863241055</v>
      </c>
    </row>
    <row r="86" spans="1:23" x14ac:dyDescent="0.35">
      <c r="A86" s="85" t="s">
        <v>578</v>
      </c>
      <c r="B86" s="85" t="s">
        <v>660</v>
      </c>
      <c r="C86" s="93">
        <v>1.9788311578699647</v>
      </c>
      <c r="D86" s="94">
        <v>2.1951704861675969</v>
      </c>
      <c r="E86" s="95">
        <v>2.6249033043728831</v>
      </c>
      <c r="G86" s="107" t="s">
        <v>417</v>
      </c>
      <c r="H86" s="105">
        <v>90.58627012288828</v>
      </c>
      <c r="I86" s="97">
        <v>26</v>
      </c>
      <c r="J86" s="98">
        <v>6</v>
      </c>
      <c r="K86" s="85"/>
      <c r="L86" s="93">
        <v>2.4025309924618736</v>
      </c>
      <c r="M86" s="94">
        <v>3.1647086364718322</v>
      </c>
      <c r="N86" s="94">
        <v>3.2024537945736018</v>
      </c>
      <c r="O86" s="94">
        <v>2.8090000000000002</v>
      </c>
      <c r="P86" s="94">
        <v>2.9470000000000001</v>
      </c>
      <c r="Q86" s="94">
        <v>3.16</v>
      </c>
      <c r="R86" s="94">
        <v>2.907</v>
      </c>
      <c r="S86" s="94">
        <v>2.2440000000000002</v>
      </c>
      <c r="T86" s="94">
        <v>-0.70899999999999996</v>
      </c>
      <c r="U86" s="94">
        <v>4.1449999999999996</v>
      </c>
      <c r="V86" s="95">
        <v>2.5609999999999999</v>
      </c>
      <c r="W86" s="95">
        <f t="shared" si="1"/>
        <v>2.41003689527024</v>
      </c>
    </row>
    <row r="87" spans="1:23" x14ac:dyDescent="0.35">
      <c r="A87" s="85" t="s">
        <v>593</v>
      </c>
      <c r="B87" s="85" t="s">
        <v>661</v>
      </c>
      <c r="C87" s="93">
        <v>2.9560258753336122E-2</v>
      </c>
      <c r="D87" s="94">
        <v>0.3483533742255629</v>
      </c>
      <c r="E87" s="95">
        <v>0.20315822263521355</v>
      </c>
      <c r="G87" s="107" t="s">
        <v>424</v>
      </c>
      <c r="H87" s="105">
        <v>67.205820265011681</v>
      </c>
      <c r="I87" s="97">
        <v>105</v>
      </c>
      <c r="J87" s="98">
        <v>10</v>
      </c>
      <c r="K87" s="85"/>
      <c r="L87" s="93">
        <v>6.6258183001417628</v>
      </c>
      <c r="M87" s="94">
        <v>1.1493004370652051</v>
      </c>
      <c r="N87" s="94">
        <v>0.5008769821586383</v>
      </c>
      <c r="O87" s="94">
        <v>0.59299999999999997</v>
      </c>
      <c r="P87" s="94">
        <v>2.9260000000000002</v>
      </c>
      <c r="Q87" s="94">
        <v>-4.7140000000000004</v>
      </c>
      <c r="R87" s="94">
        <v>2.4369999999999998</v>
      </c>
      <c r="S87" s="94">
        <v>-0.55200000000000005</v>
      </c>
      <c r="T87" s="94">
        <v>-8.8550000000000004</v>
      </c>
      <c r="U87" s="94">
        <v>1.3080000000000001</v>
      </c>
      <c r="V87" s="95">
        <v>8.1769999999999996</v>
      </c>
      <c r="W87" s="95">
        <f t="shared" si="1"/>
        <v>0.27575579843038822</v>
      </c>
    </row>
    <row r="88" spans="1:23" x14ac:dyDescent="0.35">
      <c r="A88" s="85" t="s">
        <v>578</v>
      </c>
      <c r="B88" s="85" t="s">
        <v>662</v>
      </c>
      <c r="C88" s="93">
        <v>0.51489333561212103</v>
      </c>
      <c r="D88" s="94">
        <v>1.9645834232370651</v>
      </c>
      <c r="E88" s="95">
        <v>3.7392958747352045</v>
      </c>
      <c r="G88" s="107" t="s">
        <v>401</v>
      </c>
      <c r="H88" s="105">
        <v>70.898067394091115</v>
      </c>
      <c r="I88" s="97">
        <v>86</v>
      </c>
      <c r="J88" s="98">
        <v>15</v>
      </c>
      <c r="K88" s="85"/>
      <c r="L88" s="93">
        <v>-8.8150201010635656E-2</v>
      </c>
      <c r="M88" s="94">
        <v>10.915469454314421</v>
      </c>
      <c r="N88" s="94">
        <v>4.024038625768628</v>
      </c>
      <c r="O88" s="94">
        <v>3.8759999999999999</v>
      </c>
      <c r="P88" s="94">
        <v>4.3360000000000003</v>
      </c>
      <c r="Q88" s="94">
        <v>4.74</v>
      </c>
      <c r="R88" s="94">
        <v>3.4590000000000001</v>
      </c>
      <c r="S88" s="94">
        <v>4.601</v>
      </c>
      <c r="T88" s="94">
        <v>-8.6170000000000009</v>
      </c>
      <c r="U88" s="94">
        <v>3.742</v>
      </c>
      <c r="V88" s="95">
        <v>7</v>
      </c>
      <c r="W88" s="95">
        <f t="shared" si="1"/>
        <v>2.8519396489861348</v>
      </c>
    </row>
    <row r="89" spans="1:23" x14ac:dyDescent="0.35">
      <c r="A89" s="85" t="s">
        <v>578</v>
      </c>
      <c r="B89" s="85" t="s">
        <v>663</v>
      </c>
      <c r="C89" s="93">
        <v>1.7571611332634074</v>
      </c>
      <c r="D89" s="94">
        <v>3.3757795121775569</v>
      </c>
      <c r="E89" s="95">
        <v>5.3509947789500245</v>
      </c>
      <c r="G89" s="107" t="s">
        <v>580</v>
      </c>
      <c r="H89" s="105">
        <v>58.394766440551741</v>
      </c>
      <c r="I89" s="97">
        <v>127</v>
      </c>
      <c r="J89" s="98">
        <v>26</v>
      </c>
      <c r="K89" s="85"/>
      <c r="L89" s="93">
        <v>8.0260984340408665</v>
      </c>
      <c r="M89" s="94">
        <v>8.0263002263775007</v>
      </c>
      <c r="N89" s="94">
        <v>7.6119634407438159</v>
      </c>
      <c r="O89" s="94">
        <v>7.27</v>
      </c>
      <c r="P89" s="94">
        <v>7.0229999999999997</v>
      </c>
      <c r="Q89" s="94">
        <v>6.851</v>
      </c>
      <c r="R89" s="94">
        <v>6.2889999999999997</v>
      </c>
      <c r="S89" s="94">
        <v>4.6520000000000001</v>
      </c>
      <c r="T89" s="94">
        <v>-0.435</v>
      </c>
      <c r="U89" s="94">
        <v>2.0609999999999999</v>
      </c>
      <c r="V89" s="95">
        <v>2.2519999999999998</v>
      </c>
      <c r="W89" s="95">
        <f t="shared" si="1"/>
        <v>4.3633871455637907</v>
      </c>
    </row>
    <row r="90" spans="1:23" x14ac:dyDescent="0.35">
      <c r="A90" s="85" t="s">
        <v>227</v>
      </c>
      <c r="B90" s="85" t="s">
        <v>664</v>
      </c>
      <c r="C90" s="93">
        <v>1.2465800540070626</v>
      </c>
      <c r="D90" s="94">
        <v>2.186383184955365</v>
      </c>
      <c r="E90" s="95">
        <v>2.3979634558628948</v>
      </c>
      <c r="G90" s="107" t="s">
        <v>584</v>
      </c>
      <c r="H90" s="105">
        <v>81.044610107182237</v>
      </c>
      <c r="I90" s="97">
        <v>44</v>
      </c>
      <c r="J90" s="98">
        <v>29</v>
      </c>
      <c r="K90" s="85"/>
      <c r="L90" s="93">
        <v>4.1342316499835752</v>
      </c>
      <c r="M90" s="94">
        <v>2.3280042634440163</v>
      </c>
      <c r="N90" s="94">
        <v>1.9151903779433241</v>
      </c>
      <c r="O90" s="94">
        <v>3.8849999999999998</v>
      </c>
      <c r="P90" s="94">
        <v>2.3690000000000002</v>
      </c>
      <c r="Q90" s="94">
        <v>3.3119999999999998</v>
      </c>
      <c r="R90" s="94">
        <v>3.992</v>
      </c>
      <c r="S90" s="94">
        <v>2.57</v>
      </c>
      <c r="T90" s="94">
        <v>-2.2029999999999998</v>
      </c>
      <c r="U90" s="94">
        <v>4.0640000000000001</v>
      </c>
      <c r="V90" s="95">
        <v>1.976</v>
      </c>
      <c r="W90" s="95">
        <f t="shared" si="1"/>
        <v>2.2921733204091299</v>
      </c>
    </row>
    <row r="91" spans="1:23" x14ac:dyDescent="0.35">
      <c r="A91" s="85" t="s">
        <v>593</v>
      </c>
      <c r="B91" s="85" t="s">
        <v>665</v>
      </c>
      <c r="C91" s="93">
        <v>-11.570507599610414</v>
      </c>
      <c r="D91" s="94">
        <v>-8.8972805759156888</v>
      </c>
      <c r="E91" s="95">
        <v>-3.6804003540223951</v>
      </c>
      <c r="G91" s="107" t="s">
        <v>401</v>
      </c>
      <c r="H91" s="105">
        <v>70.925074776605015</v>
      </c>
      <c r="I91" s="97">
        <v>85</v>
      </c>
      <c r="J91" s="98">
        <v>9</v>
      </c>
      <c r="K91" s="85"/>
      <c r="L91" s="93">
        <v>2.5405417890992656</v>
      </c>
      <c r="M91" s="94">
        <v>3.8110224147865268</v>
      </c>
      <c r="N91" s="94">
        <v>2.4536595719223264</v>
      </c>
      <c r="O91" s="94">
        <v>0.46100000000000002</v>
      </c>
      <c r="P91" s="94">
        <v>1.556</v>
      </c>
      <c r="Q91" s="94">
        <v>0.90300000000000002</v>
      </c>
      <c r="R91" s="94">
        <v>-1.885</v>
      </c>
      <c r="S91" s="94">
        <v>-6.915</v>
      </c>
      <c r="T91" s="94">
        <v>-25.907</v>
      </c>
      <c r="U91" s="94">
        <v>-5.4</v>
      </c>
      <c r="V91" s="95">
        <v>-5.4</v>
      </c>
      <c r="W91" s="95">
        <f t="shared" si="1"/>
        <v>-6.2888404649690415</v>
      </c>
    </row>
    <row r="92" spans="1:23" x14ac:dyDescent="0.35">
      <c r="A92" s="85" t="s">
        <v>582</v>
      </c>
      <c r="B92" s="85" t="s">
        <v>666</v>
      </c>
      <c r="C92" s="93">
        <v>-1.7564836758548363</v>
      </c>
      <c r="D92" s="94">
        <v>-1.6866052500791207</v>
      </c>
      <c r="E92" s="95">
        <v>0.46596555472186996</v>
      </c>
      <c r="G92" s="107" t="s">
        <v>424</v>
      </c>
      <c r="H92" s="105">
        <v>68.290636352612694</v>
      </c>
      <c r="I92" s="97">
        <v>100</v>
      </c>
      <c r="J92" s="98">
        <v>20</v>
      </c>
      <c r="K92" s="85"/>
      <c r="L92" s="93">
        <v>6.7436269408569842</v>
      </c>
      <c r="M92" s="94">
        <v>4.1869122037746749</v>
      </c>
      <c r="N92" s="94">
        <v>2.8839688442816156</v>
      </c>
      <c r="O92" s="94">
        <v>3.2480000000000002</v>
      </c>
      <c r="P92" s="94">
        <v>1.877</v>
      </c>
      <c r="Q92" s="94">
        <v>-2.734</v>
      </c>
      <c r="R92" s="94">
        <v>-1.304</v>
      </c>
      <c r="S92" s="94">
        <v>-1.9710000000000001</v>
      </c>
      <c r="T92" s="94">
        <v>-3.9020000000000001</v>
      </c>
      <c r="U92" s="94">
        <v>2.1019999999999999</v>
      </c>
      <c r="V92" s="95">
        <v>2.093</v>
      </c>
      <c r="W92" s="95">
        <f t="shared" si="1"/>
        <v>-0.61031984767862535</v>
      </c>
    </row>
    <row r="93" spans="1:23" x14ac:dyDescent="0.35">
      <c r="A93" s="85" t="s">
        <v>582</v>
      </c>
      <c r="B93" s="85" t="s">
        <v>667</v>
      </c>
      <c r="C93" s="93">
        <v>2.2030305181955034</v>
      </c>
      <c r="D93" s="94">
        <v>1.043410797540445</v>
      </c>
      <c r="E93" s="95">
        <v>1.5173155129903693</v>
      </c>
      <c r="G93" s="107" t="s">
        <v>580</v>
      </c>
      <c r="H93" s="105">
        <v>56.232966845120316</v>
      </c>
      <c r="I93" s="97">
        <v>130</v>
      </c>
      <c r="J93" s="98">
        <v>32</v>
      </c>
      <c r="K93" s="85"/>
      <c r="L93" s="93">
        <v>7.9938156931364137</v>
      </c>
      <c r="M93" s="94">
        <v>8.6872878163968235</v>
      </c>
      <c r="N93" s="94">
        <v>0.70139310028752089</v>
      </c>
      <c r="O93" s="94">
        <v>7.0000000000000001E-3</v>
      </c>
      <c r="P93" s="94">
        <v>-1.63</v>
      </c>
      <c r="Q93" s="94">
        <v>2.4689999999999999</v>
      </c>
      <c r="R93" s="94">
        <v>1.242</v>
      </c>
      <c r="S93" s="94">
        <v>-2.516</v>
      </c>
      <c r="T93" s="94">
        <v>-2.9670000000000001</v>
      </c>
      <c r="U93" s="94">
        <v>5.0110000000000001</v>
      </c>
      <c r="V93" s="95">
        <v>4.8109999999999999</v>
      </c>
      <c r="W93" s="95">
        <f t="shared" si="1"/>
        <v>1.2803631552654071</v>
      </c>
    </row>
    <row r="94" spans="1:23" x14ac:dyDescent="0.35">
      <c r="A94" s="85" t="s">
        <v>582</v>
      </c>
      <c r="B94" s="85" t="s">
        <v>668</v>
      </c>
      <c r="C94" s="93">
        <v>5.1304452243001952</v>
      </c>
      <c r="D94" s="94">
        <v>3.4484900722276279</v>
      </c>
      <c r="E94" s="95">
        <v>1.2335060569262035</v>
      </c>
      <c r="G94" s="107" t="s">
        <v>580</v>
      </c>
      <c r="H94" s="105">
        <v>48.008478383672035</v>
      </c>
      <c r="I94" s="97">
        <v>140</v>
      </c>
      <c r="J94" s="98">
        <v>38</v>
      </c>
      <c r="K94" s="85"/>
      <c r="L94" s="93">
        <v>274.10446739057375</v>
      </c>
      <c r="M94" s="94">
        <v>-13.994834968637873</v>
      </c>
      <c r="N94" s="94">
        <v>-10.842440326997824</v>
      </c>
      <c r="O94" s="94">
        <v>-0.84299999999999997</v>
      </c>
      <c r="P94" s="94">
        <v>-1.4910000000000001</v>
      </c>
      <c r="Q94" s="94">
        <v>32.491999999999997</v>
      </c>
      <c r="R94" s="94">
        <v>7.9409999999999998</v>
      </c>
      <c r="S94" s="94">
        <v>-11.196</v>
      </c>
      <c r="T94" s="94">
        <v>-29.456</v>
      </c>
      <c r="U94" s="94">
        <v>28.335000000000001</v>
      </c>
      <c r="V94" s="95">
        <v>-12.813000000000001</v>
      </c>
      <c r="W94" s="95">
        <f t="shared" si="1"/>
        <v>2.3409980645769157</v>
      </c>
    </row>
    <row r="95" spans="1:23" x14ac:dyDescent="0.35">
      <c r="A95" s="85" t="s">
        <v>227</v>
      </c>
      <c r="B95" s="85" t="s">
        <v>669</v>
      </c>
      <c r="C95" s="93">
        <v>2.5853990379055336</v>
      </c>
      <c r="D95" s="94">
        <v>3.2350334175799356</v>
      </c>
      <c r="E95" s="95">
        <v>3.2063173772679532</v>
      </c>
      <c r="G95" s="107" t="s">
        <v>584</v>
      </c>
      <c r="H95" s="105">
        <v>80.769738018881156</v>
      </c>
      <c r="I95" s="97">
        <v>45</v>
      </c>
      <c r="J95" s="98">
        <v>30</v>
      </c>
      <c r="K95" s="85"/>
      <c r="L95" s="93">
        <v>3.8333027642866848</v>
      </c>
      <c r="M95" s="94">
        <v>3.5584246313476826</v>
      </c>
      <c r="N95" s="94">
        <v>3.5079712171273361</v>
      </c>
      <c r="O95" s="94">
        <v>2.024</v>
      </c>
      <c r="P95" s="94">
        <v>2.5190000000000001</v>
      </c>
      <c r="Q95" s="94">
        <v>4.282</v>
      </c>
      <c r="R95" s="94">
        <v>3.9929999999999999</v>
      </c>
      <c r="S95" s="94">
        <v>4.625</v>
      </c>
      <c r="T95" s="94">
        <v>-2.1999999999999999E-2</v>
      </c>
      <c r="U95" s="94">
        <v>5.9809999999999999</v>
      </c>
      <c r="V95" s="95">
        <v>1.8879999999999999</v>
      </c>
      <c r="W95" s="95">
        <f t="shared" si="1"/>
        <v>3.2206753974239444</v>
      </c>
    </row>
    <row r="96" spans="1:23" x14ac:dyDescent="0.35">
      <c r="A96" s="85" t="s">
        <v>227</v>
      </c>
      <c r="B96" s="85" t="s">
        <v>670</v>
      </c>
      <c r="C96" s="93">
        <v>1.9225945961039326</v>
      </c>
      <c r="D96" s="94">
        <v>1.8607829332780268</v>
      </c>
      <c r="E96" s="95">
        <v>2.36159954003623</v>
      </c>
      <c r="G96" s="107" t="s">
        <v>417</v>
      </c>
      <c r="H96" s="105">
        <v>96.778306193425522</v>
      </c>
      <c r="I96" s="97">
        <v>9</v>
      </c>
      <c r="J96" s="98">
        <v>7</v>
      </c>
      <c r="K96" s="85"/>
      <c r="L96" s="93">
        <v>1.6499020297865346</v>
      </c>
      <c r="M96" s="94">
        <v>3.1717904991600552</v>
      </c>
      <c r="N96" s="94">
        <v>2.6230860157719222</v>
      </c>
      <c r="O96" s="94">
        <v>2.2679999999999998</v>
      </c>
      <c r="P96" s="94">
        <v>4.9779999999999998</v>
      </c>
      <c r="Q96" s="94">
        <v>1.3169999999999999</v>
      </c>
      <c r="R96" s="94">
        <v>1.2190000000000001</v>
      </c>
      <c r="S96" s="94">
        <v>2.3199999999999998</v>
      </c>
      <c r="T96" s="94">
        <v>-0.79700000000000004</v>
      </c>
      <c r="U96" s="94">
        <v>5.1029999999999998</v>
      </c>
      <c r="V96" s="95">
        <v>1.5489999999999999</v>
      </c>
      <c r="W96" s="95">
        <f t="shared" si="1"/>
        <v>2.1111912366571284</v>
      </c>
    </row>
    <row r="97" spans="1:23" x14ac:dyDescent="0.35">
      <c r="A97" s="85" t="s">
        <v>582</v>
      </c>
      <c r="B97" s="85" t="s">
        <v>671</v>
      </c>
      <c r="C97" s="93">
        <v>0.34284241084634459</v>
      </c>
      <c r="D97" s="94">
        <v>1.7120658983774018</v>
      </c>
      <c r="E97" s="95">
        <v>2.5217225637742979</v>
      </c>
      <c r="G97" s="107" t="s">
        <v>580</v>
      </c>
      <c r="H97" s="105">
        <v>48.940679032016362</v>
      </c>
      <c r="I97" s="97">
        <v>139</v>
      </c>
      <c r="J97" s="98">
        <v>37</v>
      </c>
      <c r="K97" s="85"/>
      <c r="L97" s="93">
        <v>3.0111464075530683</v>
      </c>
      <c r="M97" s="94">
        <v>2.3003869344771051</v>
      </c>
      <c r="N97" s="94">
        <v>3.3392022440733014</v>
      </c>
      <c r="O97" s="94">
        <v>3.1320000000000001</v>
      </c>
      <c r="P97" s="94">
        <v>3.9929999999999999</v>
      </c>
      <c r="Q97" s="94">
        <v>3.9329999999999998</v>
      </c>
      <c r="R97" s="94">
        <v>3.194</v>
      </c>
      <c r="S97" s="94">
        <v>4.4109999999999996</v>
      </c>
      <c r="T97" s="94">
        <v>-7.1379999999999999</v>
      </c>
      <c r="U97" s="94">
        <v>5.74</v>
      </c>
      <c r="V97" s="95">
        <v>4.21</v>
      </c>
      <c r="W97" s="95">
        <f t="shared" si="1"/>
        <v>2.1168942310758498</v>
      </c>
    </row>
    <row r="98" spans="1:23" x14ac:dyDescent="0.35">
      <c r="A98" s="85" t="s">
        <v>582</v>
      </c>
      <c r="B98" s="85" t="s">
        <v>672</v>
      </c>
      <c r="C98" s="93">
        <v>1.446318587345985</v>
      </c>
      <c r="D98" s="94">
        <v>2.8212259957555386</v>
      </c>
      <c r="E98" s="95">
        <v>3.4233840163588436</v>
      </c>
      <c r="G98" s="107" t="s">
        <v>401</v>
      </c>
      <c r="H98" s="105">
        <v>72.879134631330203</v>
      </c>
      <c r="I98" s="97">
        <v>77</v>
      </c>
      <c r="J98" s="98">
        <v>8</v>
      </c>
      <c r="K98" s="85"/>
      <c r="L98" s="93">
        <v>1.8857995075156477</v>
      </c>
      <c r="M98" s="94">
        <v>5.1999999956050429</v>
      </c>
      <c r="N98" s="94">
        <v>5.7000000050572197</v>
      </c>
      <c r="O98" s="94">
        <v>2.95</v>
      </c>
      <c r="P98" s="94">
        <v>2.27</v>
      </c>
      <c r="Q98" s="94">
        <v>4</v>
      </c>
      <c r="R98" s="94">
        <v>4.3920000000000003</v>
      </c>
      <c r="S98" s="94">
        <v>5.4480000000000004</v>
      </c>
      <c r="T98" s="94">
        <v>0.91300000000000003</v>
      </c>
      <c r="U98" s="94">
        <v>4.5670000000000002</v>
      </c>
      <c r="V98" s="95">
        <v>0.8</v>
      </c>
      <c r="W98" s="95">
        <f t="shared" si="1"/>
        <v>3.1223050060571911</v>
      </c>
    </row>
    <row r="99" spans="1:23" x14ac:dyDescent="0.35">
      <c r="A99" s="85" t="s">
        <v>578</v>
      </c>
      <c r="B99" s="85" t="s">
        <v>673</v>
      </c>
      <c r="C99" s="93">
        <v>1.9142421361718398</v>
      </c>
      <c r="D99" s="94">
        <v>3.0011020126644361</v>
      </c>
      <c r="E99" s="95">
        <v>4.0922822936961589</v>
      </c>
      <c r="G99" s="107" t="s">
        <v>401</v>
      </c>
      <c r="H99" s="105">
        <v>76.114633172938127</v>
      </c>
      <c r="I99" s="97">
        <v>66</v>
      </c>
      <c r="J99" s="98">
        <v>9</v>
      </c>
      <c r="K99" s="85"/>
      <c r="L99" s="93">
        <v>5.4734541925385383</v>
      </c>
      <c r="M99" s="94">
        <v>4.6937225255789317</v>
      </c>
      <c r="N99" s="94">
        <v>6.0067219455820462</v>
      </c>
      <c r="O99" s="94">
        <v>5.0069999999999997</v>
      </c>
      <c r="P99" s="94">
        <v>4.45</v>
      </c>
      <c r="Q99" s="94">
        <v>5.8129999999999997</v>
      </c>
      <c r="R99" s="94">
        <v>4.843</v>
      </c>
      <c r="S99" s="94">
        <v>4.4130000000000003</v>
      </c>
      <c r="T99" s="94">
        <v>-5.5339999999999998</v>
      </c>
      <c r="U99" s="94">
        <v>3.0920000000000001</v>
      </c>
      <c r="V99" s="95">
        <v>8.6940000000000008</v>
      </c>
      <c r="W99" s="95">
        <f t="shared" si="1"/>
        <v>3.5466921531802975</v>
      </c>
    </row>
    <row r="100" spans="1:23" x14ac:dyDescent="0.35">
      <c r="A100" s="85" t="s">
        <v>582</v>
      </c>
      <c r="B100" s="85" t="s">
        <v>674</v>
      </c>
      <c r="C100" s="93">
        <v>1.8165870919236937</v>
      </c>
      <c r="D100" s="94">
        <v>2.9671130334121942</v>
      </c>
      <c r="E100" s="95">
        <v>4.1460050619633648</v>
      </c>
      <c r="G100" s="107" t="s">
        <v>580</v>
      </c>
      <c r="H100" s="105">
        <v>43.633236095724527</v>
      </c>
      <c r="I100" s="97">
        <v>146</v>
      </c>
      <c r="J100" s="98">
        <v>41</v>
      </c>
      <c r="K100" s="85"/>
      <c r="L100" s="93">
        <v>-0.83662749707312833</v>
      </c>
      <c r="M100" s="94">
        <v>2.3037669581925009</v>
      </c>
      <c r="N100" s="94">
        <v>7.1014223480749816</v>
      </c>
      <c r="O100" s="94">
        <v>6.1719999999999997</v>
      </c>
      <c r="P100" s="94">
        <v>5.8520000000000003</v>
      </c>
      <c r="Q100" s="94">
        <v>5.3049999999999997</v>
      </c>
      <c r="R100" s="94">
        <v>4.7460000000000004</v>
      </c>
      <c r="S100" s="94">
        <v>4.7649999999999997</v>
      </c>
      <c r="T100" s="94">
        <v>-1.244</v>
      </c>
      <c r="U100" s="94">
        <v>3.0550000000000002</v>
      </c>
      <c r="V100" s="95">
        <v>3.7040000000000002</v>
      </c>
      <c r="W100" s="95">
        <f t="shared" si="1"/>
        <v>3.5565590476877795</v>
      </c>
    </row>
    <row r="101" spans="1:23" x14ac:dyDescent="0.35">
      <c r="A101" s="85" t="s">
        <v>227</v>
      </c>
      <c r="B101" s="85" t="s">
        <v>675</v>
      </c>
      <c r="C101" s="93">
        <v>2.6124059576447589</v>
      </c>
      <c r="D101" s="94">
        <v>4.3931536419201889</v>
      </c>
      <c r="E101" s="95">
        <v>5.6722564665051767</v>
      </c>
      <c r="G101" s="107" t="s">
        <v>584</v>
      </c>
      <c r="H101" s="105">
        <v>86.894246999173433</v>
      </c>
      <c r="I101" s="97">
        <v>33</v>
      </c>
      <c r="J101" s="98">
        <v>22</v>
      </c>
      <c r="K101" s="85"/>
      <c r="L101" s="93">
        <v>4.1177072993516513</v>
      </c>
      <c r="M101" s="94">
        <v>5.4733556954527041</v>
      </c>
      <c r="N101" s="94">
        <v>7.6335381123007346</v>
      </c>
      <c r="O101" s="94">
        <v>9.6080000000000005</v>
      </c>
      <c r="P101" s="94">
        <v>3.3809999999999998</v>
      </c>
      <c r="Q101" s="94">
        <v>10.869</v>
      </c>
      <c r="R101" s="94">
        <v>6.1929999999999996</v>
      </c>
      <c r="S101" s="94">
        <v>7.0090000000000003</v>
      </c>
      <c r="T101" s="94">
        <v>-8.6120000000000001</v>
      </c>
      <c r="U101" s="94">
        <v>11.805999999999999</v>
      </c>
      <c r="V101" s="95">
        <v>6.851</v>
      </c>
      <c r="W101" s="95">
        <f t="shared" si="1"/>
        <v>5.0327050542126823</v>
      </c>
    </row>
    <row r="102" spans="1:23" x14ac:dyDescent="0.35">
      <c r="A102" s="85" t="s">
        <v>582</v>
      </c>
      <c r="B102" s="85" t="s">
        <v>676</v>
      </c>
      <c r="C102" s="93">
        <v>10.380851809157976</v>
      </c>
      <c r="D102" s="94">
        <v>8.3436024853472226</v>
      </c>
      <c r="E102" s="95">
        <v>5.9978829377542953</v>
      </c>
      <c r="G102" s="107" t="s">
        <v>424</v>
      </c>
      <c r="H102" s="105">
        <v>67.535233245846925</v>
      </c>
      <c r="I102" s="97">
        <v>103</v>
      </c>
      <c r="J102" s="98">
        <v>23</v>
      </c>
      <c r="K102" s="85"/>
      <c r="L102" s="93">
        <v>4.4700131823368974</v>
      </c>
      <c r="M102" s="94">
        <v>4.150813186271721</v>
      </c>
      <c r="N102" s="94">
        <v>4.2748232713028473</v>
      </c>
      <c r="O102" s="94">
        <v>5.3760000000000003</v>
      </c>
      <c r="P102" s="94">
        <v>1.2609999999999999</v>
      </c>
      <c r="Q102" s="94">
        <v>6.2709999999999999</v>
      </c>
      <c r="R102" s="94">
        <v>4.7729999999999997</v>
      </c>
      <c r="S102" s="94">
        <v>5.4290000000000003</v>
      </c>
      <c r="T102" s="94">
        <v>-0.93799999999999994</v>
      </c>
      <c r="U102" s="94">
        <v>2.4449999999999998</v>
      </c>
      <c r="V102" s="95">
        <v>4.96</v>
      </c>
      <c r="W102" s="95">
        <f t="shared" si="1"/>
        <v>7.1707427115507585</v>
      </c>
    </row>
    <row r="103" spans="1:23" x14ac:dyDescent="0.35">
      <c r="A103" s="85" t="s">
        <v>582</v>
      </c>
      <c r="B103" s="85" t="s">
        <v>677</v>
      </c>
      <c r="C103" s="93">
        <v>-1.3801179259189</v>
      </c>
      <c r="D103" s="94">
        <v>1.2027047615812192</v>
      </c>
      <c r="E103" s="95">
        <v>2.4249070445692134</v>
      </c>
      <c r="G103" s="107" t="s">
        <v>584</v>
      </c>
      <c r="H103" s="105">
        <v>86.159393229935986</v>
      </c>
      <c r="I103" s="97">
        <v>35</v>
      </c>
      <c r="J103" s="98">
        <v>1</v>
      </c>
      <c r="K103" s="85"/>
      <c r="L103" s="93">
        <v>3.4961183375797935</v>
      </c>
      <c r="M103" s="94">
        <v>3.3604061030308432</v>
      </c>
      <c r="N103" s="94">
        <v>3.7445757725785316</v>
      </c>
      <c r="O103" s="94">
        <v>3.6909999999999998</v>
      </c>
      <c r="P103" s="94">
        <v>3.8620000000000001</v>
      </c>
      <c r="Q103" s="94">
        <v>3.9380000000000002</v>
      </c>
      <c r="R103" s="94">
        <v>4.0069999999999997</v>
      </c>
      <c r="S103" s="94">
        <v>2.891</v>
      </c>
      <c r="T103" s="94">
        <v>-14.598000000000001</v>
      </c>
      <c r="U103" s="94">
        <v>3.4990000000000001</v>
      </c>
      <c r="V103" s="95">
        <v>8.3000000000000007</v>
      </c>
      <c r="W103" s="95">
        <f t="shared" si="1"/>
        <v>1.8138059030752163</v>
      </c>
    </row>
    <row r="104" spans="1:23" x14ac:dyDescent="0.35">
      <c r="A104" s="85" t="s">
        <v>586</v>
      </c>
      <c r="B104" s="85" t="s">
        <v>678</v>
      </c>
      <c r="C104" s="93">
        <v>-0.23058449292154837</v>
      </c>
      <c r="D104" s="94">
        <v>0.18053445950247937</v>
      </c>
      <c r="E104" s="95">
        <v>1.3300326593307599</v>
      </c>
      <c r="G104" s="107" t="s">
        <v>401</v>
      </c>
      <c r="H104" s="105">
        <v>70.665681404041052</v>
      </c>
      <c r="I104" s="97">
        <v>87</v>
      </c>
      <c r="J104" s="98">
        <v>11</v>
      </c>
      <c r="K104" s="85"/>
      <c r="L104" s="93">
        <v>3.6423226794134638</v>
      </c>
      <c r="M104" s="94">
        <v>1.3540919615167941</v>
      </c>
      <c r="N104" s="94">
        <v>2.8043401283809737</v>
      </c>
      <c r="O104" s="94">
        <v>3.2930000000000001</v>
      </c>
      <c r="P104" s="94">
        <v>2.6309999999999998</v>
      </c>
      <c r="Q104" s="94">
        <v>2.113</v>
      </c>
      <c r="R104" s="94">
        <v>2.1949999999999998</v>
      </c>
      <c r="S104" s="94">
        <v>-0.19900000000000001</v>
      </c>
      <c r="T104" s="94">
        <v>-7.9880000000000004</v>
      </c>
      <c r="U104" s="94">
        <v>4.7210000000000001</v>
      </c>
      <c r="V104" s="95">
        <v>3.0659999999999998</v>
      </c>
      <c r="W104" s="95">
        <f t="shared" si="1"/>
        <v>0.75528355941661962</v>
      </c>
    </row>
    <row r="105" spans="1:23" x14ac:dyDescent="0.35">
      <c r="A105" s="85" t="s">
        <v>227</v>
      </c>
      <c r="B105" s="85" t="s">
        <v>679</v>
      </c>
      <c r="C105" s="93">
        <v>-0.11659435485397163</v>
      </c>
      <c r="D105" s="94">
        <v>1.5069892590011902</v>
      </c>
      <c r="E105" s="95">
        <v>3.001683990106474</v>
      </c>
      <c r="G105" s="107" t="s">
        <v>584</v>
      </c>
      <c r="H105" s="105">
        <v>79.52270940766131</v>
      </c>
      <c r="I105" s="97">
        <v>52</v>
      </c>
      <c r="J105" s="98">
        <v>33</v>
      </c>
      <c r="K105" s="85"/>
      <c r="L105" s="93">
        <v>-0.58973412591981322</v>
      </c>
      <c r="M105" s="94">
        <v>9.0438654824314977</v>
      </c>
      <c r="N105" s="94">
        <v>4.9996256689180685</v>
      </c>
      <c r="O105" s="94">
        <v>-0.33800000000000002</v>
      </c>
      <c r="P105" s="94">
        <v>4.4089999999999998</v>
      </c>
      <c r="Q105" s="94">
        <v>4.2</v>
      </c>
      <c r="R105" s="94">
        <v>4.0999999999999996</v>
      </c>
      <c r="S105" s="94">
        <v>3.6</v>
      </c>
      <c r="T105" s="94">
        <v>-8.3000000000000007</v>
      </c>
      <c r="U105" s="94">
        <v>13.945</v>
      </c>
      <c r="V105" s="95">
        <v>-5.5759999999999996</v>
      </c>
      <c r="W105" s="95">
        <f t="shared" si="1"/>
        <v>2.2543366245538321</v>
      </c>
    </row>
    <row r="106" spans="1:23" x14ac:dyDescent="0.35">
      <c r="A106" s="85" t="s">
        <v>578</v>
      </c>
      <c r="B106" s="85" t="s">
        <v>680</v>
      </c>
      <c r="C106" s="93">
        <v>0.5652165458427838</v>
      </c>
      <c r="D106" s="94">
        <v>3.0624452280082259</v>
      </c>
      <c r="E106" s="95">
        <v>4.33160969781623</v>
      </c>
      <c r="G106" s="107" t="s">
        <v>584</v>
      </c>
      <c r="H106" s="105">
        <v>78.890549447741549</v>
      </c>
      <c r="I106" s="97">
        <v>56</v>
      </c>
      <c r="J106" s="98">
        <v>8</v>
      </c>
      <c r="K106" s="85"/>
      <c r="L106" s="93">
        <v>12.319819848483753</v>
      </c>
      <c r="M106" s="94">
        <v>11.648916189886327</v>
      </c>
      <c r="N106" s="94">
        <v>7.8852254815193961</v>
      </c>
      <c r="O106" s="94">
        <v>2.41</v>
      </c>
      <c r="P106" s="94">
        <v>1.49</v>
      </c>
      <c r="Q106" s="94">
        <v>5.6369999999999996</v>
      </c>
      <c r="R106" s="94">
        <v>7.7450000000000001</v>
      </c>
      <c r="S106" s="94">
        <v>5.6020000000000003</v>
      </c>
      <c r="T106" s="94">
        <v>-4.5579999999999998</v>
      </c>
      <c r="U106" s="94">
        <v>1.637</v>
      </c>
      <c r="V106" s="95">
        <v>4.8460000000000001</v>
      </c>
      <c r="W106" s="95">
        <f t="shared" si="1"/>
        <v>3.6970274629122279</v>
      </c>
    </row>
    <row r="107" spans="1:23" x14ac:dyDescent="0.35">
      <c r="A107" s="85" t="s">
        <v>582</v>
      </c>
      <c r="B107" s="85" t="s">
        <v>681</v>
      </c>
      <c r="C107" s="93">
        <v>2.7484311837486786</v>
      </c>
      <c r="D107" s="94">
        <v>3.8040844105169391</v>
      </c>
      <c r="E107" s="95">
        <v>4.437166103247403</v>
      </c>
      <c r="G107" s="107" t="s">
        <v>401</v>
      </c>
      <c r="H107" s="105">
        <v>76.129604349240608</v>
      </c>
      <c r="I107" s="97">
        <v>65</v>
      </c>
      <c r="J107" s="98">
        <v>4</v>
      </c>
      <c r="K107" s="85"/>
      <c r="L107" s="93">
        <v>1.2735415748875247</v>
      </c>
      <c r="M107" s="94">
        <v>4.8919045547561728</v>
      </c>
      <c r="N107" s="94">
        <v>5.1501913509219497</v>
      </c>
      <c r="O107" s="94">
        <v>4.3449999999999998</v>
      </c>
      <c r="P107" s="94">
        <v>0.52100000000000002</v>
      </c>
      <c r="Q107" s="94">
        <v>5.0579999999999998</v>
      </c>
      <c r="R107" s="94">
        <v>3.0659999999999998</v>
      </c>
      <c r="S107" s="94">
        <v>2.891</v>
      </c>
      <c r="T107" s="94">
        <v>-7.1870000000000003</v>
      </c>
      <c r="U107" s="94">
        <v>7.93</v>
      </c>
      <c r="V107" s="95">
        <v>1.135</v>
      </c>
      <c r="W107" s="95">
        <f t="shared" si="1"/>
        <v>4.1206252568821711</v>
      </c>
    </row>
    <row r="108" spans="1:23" x14ac:dyDescent="0.35">
      <c r="A108" s="85" t="s">
        <v>582</v>
      </c>
      <c r="B108" s="85" t="s">
        <v>682</v>
      </c>
      <c r="C108" s="93">
        <v>1.7345974801987962</v>
      </c>
      <c r="D108" s="94">
        <v>2.1902907307407293</v>
      </c>
      <c r="E108" s="95">
        <v>3.9391606371984134</v>
      </c>
      <c r="G108" s="107" t="s">
        <v>424</v>
      </c>
      <c r="H108" s="105">
        <v>66.134592515292979</v>
      </c>
      <c r="I108" s="97">
        <v>110</v>
      </c>
      <c r="J108" s="98">
        <v>25</v>
      </c>
      <c r="K108" s="85"/>
      <c r="L108" s="93">
        <v>7.2584392525877934</v>
      </c>
      <c r="M108" s="94">
        <v>6.9636071348707169</v>
      </c>
      <c r="N108" s="94">
        <v>7.3985127971386246</v>
      </c>
      <c r="O108" s="94">
        <v>6.7229999999999999</v>
      </c>
      <c r="P108" s="94">
        <v>3.8239999999999998</v>
      </c>
      <c r="Q108" s="94">
        <v>3.7410000000000001</v>
      </c>
      <c r="R108" s="94">
        <v>3.444</v>
      </c>
      <c r="S108" s="94">
        <v>2.3149999999999999</v>
      </c>
      <c r="T108" s="94">
        <v>-1.1990000000000001</v>
      </c>
      <c r="U108" s="94">
        <v>2.3279999999999998</v>
      </c>
      <c r="V108" s="95">
        <v>4.1479999999999997</v>
      </c>
      <c r="W108" s="95">
        <f t="shared" si="1"/>
        <v>3.0647256839695713</v>
      </c>
    </row>
    <row r="109" spans="1:23" x14ac:dyDescent="0.35">
      <c r="A109" s="85" t="s">
        <v>578</v>
      </c>
      <c r="B109" s="85" t="s">
        <v>683</v>
      </c>
      <c r="C109" s="93">
        <v>-4.7700497073887238</v>
      </c>
      <c r="D109" s="94">
        <v>-0.38368451177455132</v>
      </c>
      <c r="E109" s="95">
        <v>3.2897594501001937</v>
      </c>
      <c r="G109" s="107" t="s">
        <v>424</v>
      </c>
      <c r="H109" s="105">
        <v>65.606474585171327</v>
      </c>
      <c r="I109" s="97">
        <v>111</v>
      </c>
      <c r="J109" s="98">
        <v>22</v>
      </c>
      <c r="K109" s="85"/>
      <c r="L109" s="93">
        <v>6.4857540044064299</v>
      </c>
      <c r="M109" s="94">
        <v>7.8986694782381086</v>
      </c>
      <c r="N109" s="94">
        <v>8.1996637504261933</v>
      </c>
      <c r="O109" s="94">
        <v>7.4729999999999999</v>
      </c>
      <c r="P109" s="94">
        <v>6.4080000000000004</v>
      </c>
      <c r="Q109" s="94">
        <v>5.75</v>
      </c>
      <c r="R109" s="94">
        <v>6.4050000000000002</v>
      </c>
      <c r="S109" s="94">
        <v>6.75</v>
      </c>
      <c r="T109" s="94">
        <v>3.1890000000000001</v>
      </c>
      <c r="U109" s="94">
        <v>-17.937999999999999</v>
      </c>
      <c r="V109" s="95">
        <v>1.9710000000000001</v>
      </c>
      <c r="W109" s="95">
        <f t="shared" si="1"/>
        <v>1.4530374691628212</v>
      </c>
    </row>
    <row r="110" spans="1:23" x14ac:dyDescent="0.35">
      <c r="A110" s="85" t="s">
        <v>582</v>
      </c>
      <c r="B110" s="85" t="s">
        <v>684</v>
      </c>
      <c r="C110" s="93">
        <v>5.9000128031017951</v>
      </c>
      <c r="D110" s="94">
        <v>3.7913046668829331</v>
      </c>
      <c r="E110" s="95">
        <v>3.4125855123770643</v>
      </c>
      <c r="G110" s="107" t="s">
        <v>401</v>
      </c>
      <c r="H110" s="105">
        <v>72.202169838266542</v>
      </c>
      <c r="I110" s="97">
        <v>79</v>
      </c>
      <c r="J110" s="98">
        <v>10</v>
      </c>
      <c r="K110" s="85"/>
      <c r="L110" s="93">
        <v>5.061682013267613</v>
      </c>
      <c r="M110" s="94">
        <v>5.6147197006409399</v>
      </c>
      <c r="N110" s="94">
        <v>5.7577888470497651</v>
      </c>
      <c r="O110" s="94">
        <v>4.2640000000000002</v>
      </c>
      <c r="P110" s="94">
        <v>3.4000000000000002E-2</v>
      </c>
      <c r="Q110" s="94">
        <v>-1.0269999999999999</v>
      </c>
      <c r="R110" s="94">
        <v>1.06</v>
      </c>
      <c r="S110" s="94">
        <v>-0.83899999999999997</v>
      </c>
      <c r="T110" s="94">
        <v>-8.0359999999999996</v>
      </c>
      <c r="U110" s="94">
        <v>2.6560000000000001</v>
      </c>
      <c r="V110" s="95">
        <v>3.8420000000000001</v>
      </c>
      <c r="W110" s="95">
        <f t="shared" si="1"/>
        <v>3.6019450896299987</v>
      </c>
    </row>
    <row r="111" spans="1:23" x14ac:dyDescent="0.35">
      <c r="A111" s="85" t="s">
        <v>578</v>
      </c>
      <c r="B111" s="85" t="s">
        <v>685</v>
      </c>
      <c r="C111" s="93">
        <v>2.509308980392877</v>
      </c>
      <c r="D111" s="94">
        <v>4.3365366697670549</v>
      </c>
      <c r="E111" s="95">
        <v>4.4414058742941132</v>
      </c>
      <c r="G111" s="107" t="s">
        <v>580</v>
      </c>
      <c r="H111" s="105">
        <v>47.880656607147813</v>
      </c>
      <c r="I111" s="97">
        <v>141</v>
      </c>
      <c r="J111" s="98">
        <v>29</v>
      </c>
      <c r="K111" s="85"/>
      <c r="L111" s="93">
        <v>4.6701221485020756</v>
      </c>
      <c r="M111" s="94">
        <v>3.525153173819251</v>
      </c>
      <c r="N111" s="94">
        <v>6.0114828408077567</v>
      </c>
      <c r="O111" s="94">
        <v>3.976</v>
      </c>
      <c r="P111" s="94">
        <v>0.433</v>
      </c>
      <c r="Q111" s="94">
        <v>8.9770000000000003</v>
      </c>
      <c r="R111" s="94">
        <v>7.6219999999999999</v>
      </c>
      <c r="S111" s="94">
        <v>6.657</v>
      </c>
      <c r="T111" s="94">
        <v>-2.37</v>
      </c>
      <c r="U111" s="94">
        <v>4.2469999999999999</v>
      </c>
      <c r="V111" s="95">
        <v>5.8380000000000001</v>
      </c>
      <c r="W111" s="95">
        <f t="shared" si="1"/>
        <v>4.3889712720305845</v>
      </c>
    </row>
    <row r="112" spans="1:23" x14ac:dyDescent="0.35">
      <c r="A112" s="85" t="s">
        <v>227</v>
      </c>
      <c r="B112" s="85" t="s">
        <v>686</v>
      </c>
      <c r="C112" s="93">
        <v>1.7497887812736312</v>
      </c>
      <c r="D112" s="94">
        <v>1.8172353151896914</v>
      </c>
      <c r="E112" s="95">
        <v>1.7415218308118652</v>
      </c>
      <c r="G112" s="107" t="s">
        <v>417</v>
      </c>
      <c r="H112" s="105">
        <v>97.320188246923195</v>
      </c>
      <c r="I112" s="97">
        <v>6</v>
      </c>
      <c r="J112" s="98">
        <v>4</v>
      </c>
      <c r="K112" s="85"/>
      <c r="L112" s="93">
        <v>-1.0303540066027346</v>
      </c>
      <c r="M112" s="94">
        <v>-0.13017522863902575</v>
      </c>
      <c r="N112" s="94">
        <v>1.4233954098743582</v>
      </c>
      <c r="O112" s="94">
        <v>1.958</v>
      </c>
      <c r="P112" s="94">
        <v>2.1920000000000002</v>
      </c>
      <c r="Q112" s="94">
        <v>2.911</v>
      </c>
      <c r="R112" s="94">
        <v>2.3610000000000002</v>
      </c>
      <c r="S112" s="94">
        <v>1.956</v>
      </c>
      <c r="T112" s="94">
        <v>-3.9129999999999998</v>
      </c>
      <c r="U112" s="94">
        <v>4.883</v>
      </c>
      <c r="V112" s="95">
        <v>4.5179999999999998</v>
      </c>
      <c r="W112" s="95">
        <f t="shared" si="1"/>
        <v>1.7793785730007783</v>
      </c>
    </row>
    <row r="113" spans="1:23" x14ac:dyDescent="0.35">
      <c r="A113" s="85" t="s">
        <v>578</v>
      </c>
      <c r="B113" s="85" t="s">
        <v>687</v>
      </c>
      <c r="C113" s="93">
        <v>1.6101427265492019</v>
      </c>
      <c r="D113" s="94">
        <v>2.5126996765094445</v>
      </c>
      <c r="E113" s="95">
        <v>2.926527233523446</v>
      </c>
      <c r="G113" s="107" t="s">
        <v>417</v>
      </c>
      <c r="H113" s="105">
        <v>98.673978139326721</v>
      </c>
      <c r="I113" s="97">
        <v>1</v>
      </c>
      <c r="J113" s="98">
        <v>1</v>
      </c>
      <c r="K113" s="85"/>
      <c r="L113" s="93">
        <v>2.2395634845413639</v>
      </c>
      <c r="M113" s="94">
        <v>2.6288005896782796</v>
      </c>
      <c r="N113" s="94">
        <v>3.6255957672075687</v>
      </c>
      <c r="O113" s="94">
        <v>3.6909999999999998</v>
      </c>
      <c r="P113" s="94">
        <v>3.8839999999999999</v>
      </c>
      <c r="Q113" s="94">
        <v>3.46</v>
      </c>
      <c r="R113" s="94">
        <v>3.524</v>
      </c>
      <c r="S113" s="94">
        <v>3.0750000000000002</v>
      </c>
      <c r="T113" s="94">
        <v>-1.4770000000000001</v>
      </c>
      <c r="U113" s="94">
        <v>6.0880000000000001</v>
      </c>
      <c r="V113" s="95">
        <v>2.4350000000000001</v>
      </c>
      <c r="W113" s="95">
        <f t="shared" si="1"/>
        <v>2.7196134550164452</v>
      </c>
    </row>
    <row r="114" spans="1:23" x14ac:dyDescent="0.35">
      <c r="A114" s="85" t="s">
        <v>586</v>
      </c>
      <c r="B114" s="85" t="s">
        <v>688</v>
      </c>
      <c r="C114" s="93">
        <v>4.0750139508862748</v>
      </c>
      <c r="D114" s="94">
        <v>0.946067021483743</v>
      </c>
      <c r="E114" s="95">
        <v>2.8253976939387693</v>
      </c>
      <c r="G114" s="107" t="s">
        <v>424</v>
      </c>
      <c r="H114" s="105">
        <v>64.641996561099731</v>
      </c>
      <c r="I114" s="97">
        <v>115</v>
      </c>
      <c r="J114" s="98">
        <v>15</v>
      </c>
      <c r="K114" s="85"/>
      <c r="L114" s="93">
        <v>6.4967472990321502</v>
      </c>
      <c r="M114" s="94">
        <v>4.9267922688301464</v>
      </c>
      <c r="N114" s="94">
        <v>4.7858161704434874</v>
      </c>
      <c r="O114" s="94">
        <v>4.7919999999999998</v>
      </c>
      <c r="P114" s="94">
        <v>4.5629999999999997</v>
      </c>
      <c r="Q114" s="94">
        <v>4.6310000000000002</v>
      </c>
      <c r="R114" s="94">
        <v>-3.363</v>
      </c>
      <c r="S114" s="94">
        <v>-3.78</v>
      </c>
      <c r="T114" s="94">
        <v>-1.7889999999999999</v>
      </c>
      <c r="U114" s="94">
        <v>10.345000000000001</v>
      </c>
      <c r="V114" s="95">
        <v>4.024</v>
      </c>
      <c r="W114" s="95">
        <f t="shared" si="1"/>
        <v>1.8857323577112561</v>
      </c>
    </row>
    <row r="115" spans="1:23" x14ac:dyDescent="0.35">
      <c r="A115" s="85" t="s">
        <v>582</v>
      </c>
      <c r="B115" s="85" t="s">
        <v>689</v>
      </c>
      <c r="C115" s="93">
        <v>5.2681473931170952</v>
      </c>
      <c r="D115" s="94">
        <v>5.8171216819006277</v>
      </c>
      <c r="E115" s="95">
        <v>5.6255556295670361</v>
      </c>
      <c r="G115" s="107" t="s">
        <v>424</v>
      </c>
      <c r="H115" s="105">
        <v>68.812447501404833</v>
      </c>
      <c r="I115" s="97">
        <v>98</v>
      </c>
      <c r="J115" s="98">
        <v>19</v>
      </c>
      <c r="K115" s="85"/>
      <c r="L115" s="93">
        <v>10.599907397446637</v>
      </c>
      <c r="M115" s="94">
        <v>5.5657295960540178</v>
      </c>
      <c r="N115" s="94">
        <v>6.5644262265084619</v>
      </c>
      <c r="O115" s="94">
        <v>4.3929999999999998</v>
      </c>
      <c r="P115" s="94">
        <v>5.7409999999999997</v>
      </c>
      <c r="Q115" s="94">
        <v>5.0010000000000003</v>
      </c>
      <c r="R115" s="94">
        <v>7.0069999999999997</v>
      </c>
      <c r="S115" s="94">
        <v>6.1429999999999998</v>
      </c>
      <c r="T115" s="94">
        <v>3.55</v>
      </c>
      <c r="U115" s="94">
        <v>1.399</v>
      </c>
      <c r="V115" s="95">
        <v>11.111000000000001</v>
      </c>
      <c r="W115" s="95">
        <f t="shared" si="1"/>
        <v>5.7213386557338319</v>
      </c>
    </row>
    <row r="116" spans="1:23" x14ac:dyDescent="0.35">
      <c r="A116" s="85" t="s">
        <v>582</v>
      </c>
      <c r="B116" s="85" t="s">
        <v>690</v>
      </c>
      <c r="C116" s="93">
        <v>1.6711254984559387</v>
      </c>
      <c r="D116" s="94">
        <v>1.8286894595159531</v>
      </c>
      <c r="E116" s="95">
        <v>2.3705025942777347</v>
      </c>
      <c r="G116" s="107" t="s">
        <v>580</v>
      </c>
      <c r="H116" s="105">
        <v>54.117482987279544</v>
      </c>
      <c r="I116" s="97">
        <v>136</v>
      </c>
      <c r="J116" s="98">
        <v>35</v>
      </c>
      <c r="K116" s="85"/>
      <c r="L116" s="93">
        <v>4.2300611751055515</v>
      </c>
      <c r="M116" s="94">
        <v>6.6713353928837664</v>
      </c>
      <c r="N116" s="94">
        <v>6.3097186557238203</v>
      </c>
      <c r="O116" s="94">
        <v>2.653</v>
      </c>
      <c r="P116" s="94">
        <v>-1.617</v>
      </c>
      <c r="Q116" s="94">
        <v>0.80600000000000005</v>
      </c>
      <c r="R116" s="94">
        <v>1.923</v>
      </c>
      <c r="S116" s="94">
        <v>2.2080000000000002</v>
      </c>
      <c r="T116" s="94">
        <v>-1.794</v>
      </c>
      <c r="U116" s="94">
        <v>3.6469999999999998</v>
      </c>
      <c r="V116" s="95">
        <v>3.2519999999999998</v>
      </c>
      <c r="W116" s="95">
        <f t="shared" si="1"/>
        <v>2.0995960268968439</v>
      </c>
    </row>
    <row r="117" spans="1:23" x14ac:dyDescent="0.35">
      <c r="A117" s="85" t="s">
        <v>227</v>
      </c>
      <c r="B117" s="85" t="s">
        <v>691</v>
      </c>
      <c r="C117" s="93">
        <v>-7.5001429328758196E-2</v>
      </c>
      <c r="D117" s="94">
        <v>1.3021650287798892</v>
      </c>
      <c r="E117" s="95">
        <v>2.0797979747829265</v>
      </c>
      <c r="G117" s="107" t="s">
        <v>584</v>
      </c>
      <c r="H117" s="105">
        <v>78.35616814320835</v>
      </c>
      <c r="I117" s="97">
        <v>58</v>
      </c>
      <c r="J117" s="98">
        <v>35</v>
      </c>
      <c r="K117" s="85"/>
      <c r="L117" s="93">
        <v>-0.45618322360793873</v>
      </c>
      <c r="M117" s="94">
        <v>2.9252576645048585</v>
      </c>
      <c r="N117" s="94">
        <v>3.6291235127637393</v>
      </c>
      <c r="O117" s="94">
        <v>3.8559999999999999</v>
      </c>
      <c r="P117" s="94">
        <v>2.8479999999999999</v>
      </c>
      <c r="Q117" s="94">
        <v>1.0820000000000001</v>
      </c>
      <c r="R117" s="94">
        <v>2.8809999999999998</v>
      </c>
      <c r="S117" s="94">
        <v>3.91</v>
      </c>
      <c r="T117" s="94">
        <v>-4.6879999999999997</v>
      </c>
      <c r="U117" s="94">
        <v>3.931</v>
      </c>
      <c r="V117" s="95">
        <v>2.2170000000000001</v>
      </c>
      <c r="W117" s="95">
        <f t="shared" si="1"/>
        <v>1.6909815017814078</v>
      </c>
    </row>
    <row r="118" spans="1:23" x14ac:dyDescent="0.35">
      <c r="A118" s="85" t="s">
        <v>227</v>
      </c>
      <c r="B118" s="85" t="s">
        <v>692</v>
      </c>
      <c r="C118" s="93">
        <v>2.1276786032802697</v>
      </c>
      <c r="D118" s="94">
        <v>2.0038500872442633</v>
      </c>
      <c r="E118" s="95">
        <v>1.8376731142071945</v>
      </c>
      <c r="G118" s="107" t="s">
        <v>417</v>
      </c>
      <c r="H118" s="105">
        <v>96.569623372049904</v>
      </c>
      <c r="I118" s="97">
        <v>10</v>
      </c>
      <c r="J118" s="98">
        <v>8</v>
      </c>
      <c r="K118" s="85"/>
      <c r="L118" s="93">
        <v>2.7030738548426481</v>
      </c>
      <c r="M118" s="94">
        <v>1.0340729135363009</v>
      </c>
      <c r="N118" s="94">
        <v>1.9695443007938924</v>
      </c>
      <c r="O118" s="94">
        <v>1.857</v>
      </c>
      <c r="P118" s="94">
        <v>1.165</v>
      </c>
      <c r="Q118" s="94">
        <v>2.464</v>
      </c>
      <c r="R118" s="94">
        <v>0.82899999999999996</v>
      </c>
      <c r="S118" s="94">
        <v>1.1240000000000001</v>
      </c>
      <c r="T118" s="94">
        <v>-1.278</v>
      </c>
      <c r="U118" s="94">
        <v>3.8980000000000001</v>
      </c>
      <c r="V118" s="95">
        <v>3.2810000000000001</v>
      </c>
      <c r="W118" s="95">
        <f t="shared" si="1"/>
        <v>1.9207616007257289</v>
      </c>
    </row>
    <row r="119" spans="1:23" x14ac:dyDescent="0.35">
      <c r="A119" s="85" t="s">
        <v>593</v>
      </c>
      <c r="B119" s="85" t="s">
        <v>693</v>
      </c>
      <c r="C119" s="93">
        <v>1.2841572452507943</v>
      </c>
      <c r="D119" s="94">
        <v>3.5695383112497314</v>
      </c>
      <c r="E119" s="95">
        <v>3.4884405409466579</v>
      </c>
      <c r="G119" s="107" t="s">
        <v>584</v>
      </c>
      <c r="H119" s="105">
        <v>83.929015692724803</v>
      </c>
      <c r="I119" s="97">
        <v>38</v>
      </c>
      <c r="J119" s="98">
        <v>3</v>
      </c>
      <c r="K119" s="85"/>
      <c r="L119" s="93">
        <v>9.3317368265983944</v>
      </c>
      <c r="M119" s="94">
        <v>4.373453291056836</v>
      </c>
      <c r="N119" s="94">
        <v>2.7522002596044053</v>
      </c>
      <c r="O119" s="94">
        <v>5.0170000000000003</v>
      </c>
      <c r="P119" s="94">
        <v>5.0460000000000003</v>
      </c>
      <c r="Q119" s="94">
        <v>0.30399999999999999</v>
      </c>
      <c r="R119" s="94">
        <v>1.2869999999999999</v>
      </c>
      <c r="S119" s="94">
        <v>-1.1299999999999999</v>
      </c>
      <c r="T119" s="94">
        <v>-3.2</v>
      </c>
      <c r="U119" s="94">
        <v>2.9020000000000001</v>
      </c>
      <c r="V119" s="95">
        <v>4.3109999999999999</v>
      </c>
      <c r="W119" s="95">
        <f t="shared" si="1"/>
        <v>3.5289894260981947</v>
      </c>
    </row>
    <row r="120" spans="1:23" x14ac:dyDescent="0.35">
      <c r="A120" s="85" t="s">
        <v>578</v>
      </c>
      <c r="B120" s="85" t="s">
        <v>694</v>
      </c>
      <c r="C120" s="93">
        <v>-2.8988961286927073</v>
      </c>
      <c r="D120" s="94">
        <v>0.9425802646799708</v>
      </c>
      <c r="E120" s="95">
        <v>2.8446311877570185</v>
      </c>
      <c r="G120" s="107" t="s">
        <v>401</v>
      </c>
      <c r="H120" s="105">
        <v>69.599146780385112</v>
      </c>
      <c r="I120" s="97">
        <v>90</v>
      </c>
      <c r="J120" s="98">
        <v>17</v>
      </c>
      <c r="K120" s="85"/>
      <c r="L120" s="93">
        <v>2.8731257161786412</v>
      </c>
      <c r="M120" s="94">
        <v>4.4745926000517917</v>
      </c>
      <c r="N120" s="94">
        <v>5.7909341243793389</v>
      </c>
      <c r="O120" s="94">
        <v>4.0579999999999998</v>
      </c>
      <c r="P120" s="94">
        <v>4.5629999999999997</v>
      </c>
      <c r="Q120" s="94">
        <v>4.609</v>
      </c>
      <c r="R120" s="94">
        <v>6.0960000000000001</v>
      </c>
      <c r="S120" s="94">
        <v>3.12</v>
      </c>
      <c r="T120" s="94">
        <v>-0.94299999999999995</v>
      </c>
      <c r="U120" s="94">
        <v>5.742</v>
      </c>
      <c r="V120" s="95">
        <v>5.9669999999999996</v>
      </c>
      <c r="W120" s="95">
        <f t="shared" si="1"/>
        <v>1.8936057262184947</v>
      </c>
    </row>
    <row r="121" spans="1:23" x14ac:dyDescent="0.35">
      <c r="A121" s="85" t="s">
        <v>586</v>
      </c>
      <c r="B121" s="85" t="s">
        <v>695</v>
      </c>
      <c r="C121" s="93">
        <v>1.349334889011633</v>
      </c>
      <c r="D121" s="94">
        <v>2.1324418529624634</v>
      </c>
      <c r="E121" s="95">
        <v>3.875737232948695</v>
      </c>
      <c r="G121" s="107" t="s">
        <v>424</v>
      </c>
      <c r="H121" s="105">
        <v>61.957917699729606</v>
      </c>
      <c r="I121" s="97">
        <v>122</v>
      </c>
      <c r="J121" s="98">
        <v>19</v>
      </c>
      <c r="K121" s="85"/>
      <c r="L121" s="93">
        <v>9.7789039456094482</v>
      </c>
      <c r="M121" s="94">
        <v>6.9032725658169563</v>
      </c>
      <c r="N121" s="94">
        <v>5.0667432180278205</v>
      </c>
      <c r="O121" s="94">
        <v>5.7329999999999997</v>
      </c>
      <c r="P121" s="94">
        <v>4.9530000000000003</v>
      </c>
      <c r="Q121" s="94">
        <v>5.5910000000000002</v>
      </c>
      <c r="R121" s="94">
        <v>3.6850000000000001</v>
      </c>
      <c r="S121" s="94">
        <v>2.98</v>
      </c>
      <c r="T121" s="94">
        <v>-17.945</v>
      </c>
      <c r="U121" s="94">
        <v>15.336</v>
      </c>
      <c r="V121" s="95">
        <v>10</v>
      </c>
      <c r="W121" s="95">
        <f t="shared" si="1"/>
        <v>3.0040895429555792</v>
      </c>
    </row>
    <row r="122" spans="1:23" x14ac:dyDescent="0.35">
      <c r="A122" s="85" t="s">
        <v>578</v>
      </c>
      <c r="B122" s="85" t="s">
        <v>696</v>
      </c>
      <c r="C122" s="93">
        <v>0.50696592980361554</v>
      </c>
      <c r="D122" s="94">
        <v>1.127965129390196</v>
      </c>
      <c r="E122" s="95">
        <v>3.7955054005958777</v>
      </c>
      <c r="G122" s="107" t="s">
        <v>580</v>
      </c>
      <c r="H122" s="105">
        <v>55.401075093758223</v>
      </c>
      <c r="I122" s="97">
        <v>131</v>
      </c>
      <c r="J122" s="98">
        <v>27</v>
      </c>
      <c r="K122" s="85"/>
      <c r="L122" s="93">
        <v>4.6571195968623904</v>
      </c>
      <c r="M122" s="94">
        <v>3.8249463280067437</v>
      </c>
      <c r="N122" s="94">
        <v>13.543770621654581</v>
      </c>
      <c r="O122" s="94">
        <v>6.5759999999999996</v>
      </c>
      <c r="P122" s="94">
        <v>5.492</v>
      </c>
      <c r="Q122" s="94">
        <v>3.5350000000000001</v>
      </c>
      <c r="R122" s="94">
        <v>-0.27900000000000003</v>
      </c>
      <c r="S122" s="94">
        <v>4.4800000000000004</v>
      </c>
      <c r="T122" s="94">
        <v>-3.1669999999999998</v>
      </c>
      <c r="U122" s="94">
        <v>7.0000000000000007E-2</v>
      </c>
      <c r="V122" s="95">
        <v>4.5359999999999996</v>
      </c>
      <c r="W122" s="95">
        <f t="shared" si="1"/>
        <v>2.4617352649930369</v>
      </c>
    </row>
    <row r="123" spans="1:23" x14ac:dyDescent="0.35">
      <c r="A123" s="85" t="s">
        <v>586</v>
      </c>
      <c r="B123" s="85" t="s">
        <v>697</v>
      </c>
      <c r="C123" s="93">
        <v>1.1388134852348575</v>
      </c>
      <c r="D123" s="94">
        <v>1.2311721995777125</v>
      </c>
      <c r="E123" s="95">
        <v>3.152890592174673</v>
      </c>
      <c r="G123" s="107" t="s">
        <v>424</v>
      </c>
      <c r="H123" s="105">
        <v>63.814130726333779</v>
      </c>
      <c r="I123" s="97">
        <v>118</v>
      </c>
      <c r="J123" s="98">
        <v>17</v>
      </c>
      <c r="K123" s="85"/>
      <c r="L123" s="93">
        <v>-0.53851294250305837</v>
      </c>
      <c r="M123" s="94">
        <v>8.4174952847030529</v>
      </c>
      <c r="N123" s="94">
        <v>4.8608903705532152</v>
      </c>
      <c r="O123" s="94">
        <v>2.9569999999999999</v>
      </c>
      <c r="P123" s="94">
        <v>4.2679999999999998</v>
      </c>
      <c r="Q123" s="94">
        <v>4.8099999999999996</v>
      </c>
      <c r="R123" s="94">
        <v>3.2040000000000002</v>
      </c>
      <c r="S123" s="94">
        <v>-0.40200000000000002</v>
      </c>
      <c r="T123" s="94">
        <v>-0.82</v>
      </c>
      <c r="U123" s="94">
        <v>4.0170000000000003</v>
      </c>
      <c r="V123" s="95">
        <v>0.2</v>
      </c>
      <c r="W123" s="95">
        <f t="shared" si="1"/>
        <v>2.1920313958761928</v>
      </c>
    </row>
    <row r="124" spans="1:23" x14ac:dyDescent="0.35">
      <c r="A124" s="85" t="s">
        <v>586</v>
      </c>
      <c r="B124" s="85" t="s">
        <v>698</v>
      </c>
      <c r="C124" s="93">
        <v>1.205712245399182</v>
      </c>
      <c r="D124" s="94">
        <v>1.959755918859285</v>
      </c>
      <c r="E124" s="95">
        <v>2.7687545080362863</v>
      </c>
      <c r="G124" s="107" t="s">
        <v>424</v>
      </c>
      <c r="H124" s="105">
        <v>62.494421901152251</v>
      </c>
      <c r="I124" s="97">
        <v>121</v>
      </c>
      <c r="J124" s="98">
        <v>18</v>
      </c>
      <c r="K124" s="85"/>
      <c r="L124" s="93">
        <v>6.1397247056043467</v>
      </c>
      <c r="M124" s="94">
        <v>5.8525182108492944</v>
      </c>
      <c r="N124" s="94">
        <v>2.3821573718054045</v>
      </c>
      <c r="O124" s="94">
        <v>3.2519999999999998</v>
      </c>
      <c r="P124" s="94">
        <v>3.9529999999999998</v>
      </c>
      <c r="Q124" s="94">
        <v>2.5190000000000001</v>
      </c>
      <c r="R124" s="94">
        <v>3.9769999999999999</v>
      </c>
      <c r="S124" s="94">
        <v>2.2330000000000001</v>
      </c>
      <c r="T124" s="94">
        <v>-11.013999999999999</v>
      </c>
      <c r="U124" s="94">
        <v>13.551</v>
      </c>
      <c r="V124" s="95">
        <v>2.7010000000000001</v>
      </c>
      <c r="W124" s="95">
        <f t="shared" si="1"/>
        <v>2.3642552134477857</v>
      </c>
    </row>
    <row r="125" spans="1:23" x14ac:dyDescent="0.35">
      <c r="A125" s="85" t="s">
        <v>578</v>
      </c>
      <c r="B125" s="85" t="s">
        <v>699</v>
      </c>
      <c r="C125" s="93">
        <v>0.96069279950485864</v>
      </c>
      <c r="D125" s="94">
        <v>3.0362820733681239</v>
      </c>
      <c r="E125" s="95">
        <v>4.8545875775876546</v>
      </c>
      <c r="G125" s="107" t="s">
        <v>401</v>
      </c>
      <c r="H125" s="105">
        <v>74.806556985260698</v>
      </c>
      <c r="I125" s="97">
        <v>69</v>
      </c>
      <c r="J125" s="98">
        <v>10</v>
      </c>
      <c r="K125" s="85"/>
      <c r="L125" s="93">
        <v>6.8969517105747951</v>
      </c>
      <c r="M125" s="94">
        <v>6.7505313017782687</v>
      </c>
      <c r="N125" s="94">
        <v>6.3479874825028357</v>
      </c>
      <c r="O125" s="94">
        <v>6.3479999999999999</v>
      </c>
      <c r="P125" s="94">
        <v>7.149</v>
      </c>
      <c r="Q125" s="94">
        <v>6.931</v>
      </c>
      <c r="R125" s="94">
        <v>6.3410000000000002</v>
      </c>
      <c r="S125" s="94">
        <v>6.1189999999999998</v>
      </c>
      <c r="T125" s="94">
        <v>-9.5180000000000007</v>
      </c>
      <c r="U125" s="94">
        <v>5.7030000000000003</v>
      </c>
      <c r="V125" s="95">
        <v>7.5990000000000002</v>
      </c>
      <c r="W125" s="95">
        <f t="shared" si="1"/>
        <v>3.9454348254778893</v>
      </c>
    </row>
    <row r="126" spans="1:23" x14ac:dyDescent="0.35">
      <c r="A126" s="85" t="s">
        <v>227</v>
      </c>
      <c r="B126" s="85" t="s">
        <v>700</v>
      </c>
      <c r="C126" s="93">
        <v>3.162865203018228</v>
      </c>
      <c r="D126" s="94">
        <v>3.8363783613865499</v>
      </c>
      <c r="E126" s="95">
        <v>3.5697088266716248</v>
      </c>
      <c r="G126" s="107" t="s">
        <v>584</v>
      </c>
      <c r="H126" s="105">
        <v>85.420553644487129</v>
      </c>
      <c r="I126" s="97">
        <v>36</v>
      </c>
      <c r="J126" s="98">
        <v>23</v>
      </c>
      <c r="K126" s="85"/>
      <c r="L126" s="93">
        <v>1.6079066445646626</v>
      </c>
      <c r="M126" s="94">
        <v>1.3918923212492256</v>
      </c>
      <c r="N126" s="94">
        <v>3.3184475370007722</v>
      </c>
      <c r="O126" s="94">
        <v>4.383</v>
      </c>
      <c r="P126" s="94">
        <v>2.9540000000000002</v>
      </c>
      <c r="Q126" s="94">
        <v>5.14</v>
      </c>
      <c r="R126" s="94">
        <v>5.9450000000000003</v>
      </c>
      <c r="S126" s="94">
        <v>4.45</v>
      </c>
      <c r="T126" s="94">
        <v>-2.02</v>
      </c>
      <c r="U126" s="94">
        <v>6.8479999999999999</v>
      </c>
      <c r="V126" s="95">
        <v>4.8739999999999997</v>
      </c>
      <c r="W126" s="95">
        <f t="shared" si="1"/>
        <v>3.7030435940290873</v>
      </c>
    </row>
    <row r="127" spans="1:23" x14ac:dyDescent="0.35">
      <c r="A127" s="85" t="s">
        <v>227</v>
      </c>
      <c r="B127" s="85" t="s">
        <v>701</v>
      </c>
      <c r="C127" s="93">
        <v>1.0661443105445922</v>
      </c>
      <c r="D127" s="94">
        <v>1.7172276328006886</v>
      </c>
      <c r="E127" s="95">
        <v>1.5719478894561822</v>
      </c>
      <c r="G127" s="107" t="s">
        <v>417</v>
      </c>
      <c r="H127" s="105">
        <v>91.026987497789847</v>
      </c>
      <c r="I127" s="97">
        <v>25</v>
      </c>
      <c r="J127" s="98">
        <v>16</v>
      </c>
      <c r="K127" s="85"/>
      <c r="L127" s="93">
        <v>-4.0572943594235547</v>
      </c>
      <c r="M127" s="94">
        <v>-0.92264378725787455</v>
      </c>
      <c r="N127" s="94">
        <v>0.79219053837650444</v>
      </c>
      <c r="O127" s="94">
        <v>1.792</v>
      </c>
      <c r="P127" s="94">
        <v>2.0190000000000001</v>
      </c>
      <c r="Q127" s="94">
        <v>3.5059999999999998</v>
      </c>
      <c r="R127" s="94">
        <v>2.8490000000000002</v>
      </c>
      <c r="S127" s="94">
        <v>2.6829999999999998</v>
      </c>
      <c r="T127" s="94">
        <v>-8.3010000000000002</v>
      </c>
      <c r="U127" s="94">
        <v>5.5030000000000001</v>
      </c>
      <c r="V127" s="95">
        <v>6.726</v>
      </c>
      <c r="W127" s="95">
        <f t="shared" si="1"/>
        <v>1.6445877611284354</v>
      </c>
    </row>
    <row r="128" spans="1:23" x14ac:dyDescent="0.35">
      <c r="A128" s="85" t="s">
        <v>593</v>
      </c>
      <c r="B128" s="85" t="s">
        <v>702</v>
      </c>
      <c r="C128" s="93">
        <v>0.67674745765720079</v>
      </c>
      <c r="D128" s="94">
        <v>0.80775193577011795</v>
      </c>
      <c r="E128" s="95">
        <v>2.0997114519337501</v>
      </c>
      <c r="G128" s="107" t="s">
        <v>584</v>
      </c>
      <c r="H128" s="105">
        <v>78.783055534449289</v>
      </c>
      <c r="I128" s="97">
        <v>57</v>
      </c>
      <c r="J128" s="98">
        <v>6</v>
      </c>
      <c r="K128" s="85"/>
      <c r="L128" s="93">
        <v>4.730011843607838</v>
      </c>
      <c r="M128" s="94">
        <v>5.5560406430660754</v>
      </c>
      <c r="N128" s="94">
        <v>5.3343232919645871</v>
      </c>
      <c r="O128" s="94">
        <v>4.7530000000000001</v>
      </c>
      <c r="P128" s="94">
        <v>3.0640000000000001</v>
      </c>
      <c r="Q128" s="94">
        <v>-1.498</v>
      </c>
      <c r="R128" s="94">
        <v>1.2350000000000001</v>
      </c>
      <c r="S128" s="94">
        <v>0.68799999999999994</v>
      </c>
      <c r="T128" s="94">
        <v>-3.5579999999999998</v>
      </c>
      <c r="U128" s="94">
        <v>1.589</v>
      </c>
      <c r="V128" s="95">
        <v>4.2409999999999997</v>
      </c>
      <c r="W128" s="95">
        <f t="shared" si="1"/>
        <v>1.453731693851934</v>
      </c>
    </row>
    <row r="129" spans="1:23" x14ac:dyDescent="0.35">
      <c r="A129" s="85" t="s">
        <v>227</v>
      </c>
      <c r="B129" s="85" t="s">
        <v>703</v>
      </c>
      <c r="C129" s="93">
        <v>1.9886029006319417</v>
      </c>
      <c r="D129" s="94">
        <v>2.9733514596169686</v>
      </c>
      <c r="E129" s="95">
        <v>3.7501787507027151</v>
      </c>
      <c r="G129" s="107" t="s">
        <v>584</v>
      </c>
      <c r="H129" s="105">
        <v>84.261081453729389</v>
      </c>
      <c r="I129" s="97">
        <v>37</v>
      </c>
      <c r="J129" s="98">
        <v>24</v>
      </c>
      <c r="K129" s="85"/>
      <c r="L129" s="93">
        <v>2.0771650065377472</v>
      </c>
      <c r="M129" s="94">
        <v>3.5145518040847694</v>
      </c>
      <c r="N129" s="94">
        <v>3.4108091001793088</v>
      </c>
      <c r="O129" s="94">
        <v>3.1629999999999998</v>
      </c>
      <c r="P129" s="94">
        <v>2.8530000000000002</v>
      </c>
      <c r="Q129" s="94">
        <v>8.2129999999999992</v>
      </c>
      <c r="R129" s="94">
        <v>6.03</v>
      </c>
      <c r="S129" s="94">
        <v>3.8439999999999999</v>
      </c>
      <c r="T129" s="94">
        <v>-3.6920000000000002</v>
      </c>
      <c r="U129" s="94">
        <v>5.8739999999999997</v>
      </c>
      <c r="V129" s="95">
        <v>4.7910000000000004</v>
      </c>
      <c r="W129" s="95">
        <f t="shared" si="1"/>
        <v>3.3617651051598418</v>
      </c>
    </row>
    <row r="130" spans="1:23" x14ac:dyDescent="0.35">
      <c r="A130" s="85" t="s">
        <v>227</v>
      </c>
      <c r="B130" s="85" t="s">
        <v>704</v>
      </c>
      <c r="C130" s="93">
        <v>0.31321455831558875</v>
      </c>
      <c r="D130" s="94">
        <v>1.1211784185926943</v>
      </c>
      <c r="E130" s="95">
        <v>0.80914098391451361</v>
      </c>
      <c r="G130" s="107" t="s">
        <v>401</v>
      </c>
      <c r="H130" s="105">
        <v>76.528749373407479</v>
      </c>
      <c r="I130" s="97">
        <v>64</v>
      </c>
      <c r="J130" s="98">
        <v>36</v>
      </c>
      <c r="K130" s="85"/>
      <c r="L130" s="93">
        <v>4.0240861571797915</v>
      </c>
      <c r="M130" s="94">
        <v>1.7554221491628001</v>
      </c>
      <c r="N130" s="94">
        <v>0.736267221403759</v>
      </c>
      <c r="O130" s="94">
        <v>-1.9730000000000001</v>
      </c>
      <c r="P130" s="94">
        <v>0.19400000000000001</v>
      </c>
      <c r="Q130" s="94">
        <v>1.8260000000000001</v>
      </c>
      <c r="R130" s="94">
        <v>2.8069999999999999</v>
      </c>
      <c r="S130" s="94">
        <v>2.198</v>
      </c>
      <c r="T130" s="94">
        <v>-2.6539999999999999</v>
      </c>
      <c r="U130" s="94">
        <v>5.6239999999999997</v>
      </c>
      <c r="V130" s="95">
        <v>-2.0510000000000002</v>
      </c>
      <c r="W130" s="95">
        <f t="shared" si="1"/>
        <v>0.96515970125360395</v>
      </c>
    </row>
    <row r="131" spans="1:23" x14ac:dyDescent="0.35">
      <c r="A131" s="85" t="s">
        <v>582</v>
      </c>
      <c r="B131" s="85" t="s">
        <v>705</v>
      </c>
      <c r="C131" s="93">
        <v>4.5886571318858538</v>
      </c>
      <c r="D131" s="94">
        <v>6.3388189685080754</v>
      </c>
      <c r="E131" s="95">
        <v>6.1347836953729917</v>
      </c>
      <c r="G131" s="107" t="s">
        <v>401</v>
      </c>
      <c r="H131" s="105">
        <v>76.577775011818801</v>
      </c>
      <c r="I131" s="97">
        <v>63</v>
      </c>
      <c r="J131" s="98">
        <v>3</v>
      </c>
      <c r="K131" s="85"/>
      <c r="L131" s="93">
        <v>8.6415388651712988</v>
      </c>
      <c r="M131" s="94">
        <v>4.7198554996618309</v>
      </c>
      <c r="N131" s="94">
        <v>6.1642772027561934</v>
      </c>
      <c r="O131" s="94">
        <v>8.8539999999999992</v>
      </c>
      <c r="P131" s="94">
        <v>5.9720000000000004</v>
      </c>
      <c r="Q131" s="94">
        <v>3.9729999999999999</v>
      </c>
      <c r="R131" s="94">
        <v>8.5779999999999994</v>
      </c>
      <c r="S131" s="94">
        <v>9.4689999999999994</v>
      </c>
      <c r="T131" s="94">
        <v>-3.3570000000000002</v>
      </c>
      <c r="U131" s="94">
        <v>10.874000000000001</v>
      </c>
      <c r="V131" s="95">
        <v>6.7629999999999999</v>
      </c>
      <c r="W131" s="95">
        <f t="shared" si="1"/>
        <v>6.2368013319405335</v>
      </c>
    </row>
    <row r="132" spans="1:23" x14ac:dyDescent="0.35">
      <c r="A132" s="85" t="s">
        <v>593</v>
      </c>
      <c r="B132" s="85" t="s">
        <v>706</v>
      </c>
      <c r="C132" s="93">
        <v>2.4790435166051283</v>
      </c>
      <c r="D132" s="94">
        <v>2.0533451948943071</v>
      </c>
      <c r="E132" s="95">
        <v>2.158001329255721</v>
      </c>
      <c r="G132" s="107" t="s">
        <v>584</v>
      </c>
      <c r="H132" s="105">
        <v>76.963439522680929</v>
      </c>
      <c r="I132" s="97">
        <v>61</v>
      </c>
      <c r="J132" s="98">
        <v>8</v>
      </c>
      <c r="K132" s="85"/>
      <c r="L132" s="93">
        <v>5.4114449021643543</v>
      </c>
      <c r="M132" s="94">
        <v>2.6992547225567329</v>
      </c>
      <c r="N132" s="94">
        <v>3.6524816975790095</v>
      </c>
      <c r="O132" s="94">
        <v>4.6900000000000004</v>
      </c>
      <c r="P132" s="94">
        <v>2.363</v>
      </c>
      <c r="Q132" s="94">
        <v>-7.0000000000000007E-2</v>
      </c>
      <c r="R132" s="94">
        <v>2.762</v>
      </c>
      <c r="S132" s="94">
        <v>0.83199999999999996</v>
      </c>
      <c r="T132" s="94">
        <v>-4.3410000000000002</v>
      </c>
      <c r="U132" s="94">
        <v>3.9220000000000002</v>
      </c>
      <c r="V132" s="95">
        <v>8.7439999999999998</v>
      </c>
      <c r="W132" s="95">
        <f t="shared" si="1"/>
        <v>2.105673262075014</v>
      </c>
    </row>
    <row r="133" spans="1:23" x14ac:dyDescent="0.35">
      <c r="A133" s="85" t="s">
        <v>582</v>
      </c>
      <c r="B133" s="85" t="s">
        <v>707</v>
      </c>
      <c r="C133" s="93">
        <v>4.0137946463164598</v>
      </c>
      <c r="D133" s="94">
        <v>4.5694149693751296</v>
      </c>
      <c r="E133" s="95">
        <v>5.2331571951220512</v>
      </c>
      <c r="G133" s="107" t="s">
        <v>401</v>
      </c>
      <c r="H133" s="105">
        <v>69.313365081609845</v>
      </c>
      <c r="I133" s="97">
        <v>93</v>
      </c>
      <c r="J133" s="98">
        <v>15</v>
      </c>
      <c r="K133" s="85"/>
      <c r="L133" s="93">
        <v>5.1173942367478444</v>
      </c>
      <c r="M133" s="94">
        <v>2.8221056497235883</v>
      </c>
      <c r="N133" s="94">
        <v>6.6135001033739647</v>
      </c>
      <c r="O133" s="94">
        <v>6.367</v>
      </c>
      <c r="P133" s="94">
        <v>6.3559999999999999</v>
      </c>
      <c r="Q133" s="94">
        <v>7.407</v>
      </c>
      <c r="R133" s="94">
        <v>6.2089999999999996</v>
      </c>
      <c r="S133" s="94">
        <v>4.6139999999999999</v>
      </c>
      <c r="T133" s="94">
        <v>1.3260000000000001</v>
      </c>
      <c r="U133" s="94">
        <v>6.0670000000000002</v>
      </c>
      <c r="V133" s="95">
        <v>4.7089999999999996</v>
      </c>
      <c r="W133" s="95">
        <f t="shared" si="1"/>
        <v>4.9012860822485909</v>
      </c>
    </row>
    <row r="134" spans="1:23" x14ac:dyDescent="0.35">
      <c r="A134" s="85" t="s">
        <v>227</v>
      </c>
      <c r="B134" s="85" t="s">
        <v>708</v>
      </c>
      <c r="C134" s="93">
        <v>2.9071913241700997</v>
      </c>
      <c r="D134" s="94">
        <v>3.5107747978878168</v>
      </c>
      <c r="E134" s="95">
        <v>2.5987412011468258</v>
      </c>
      <c r="G134" s="107" t="s">
        <v>401</v>
      </c>
      <c r="H134" s="105">
        <v>74.50245157918026</v>
      </c>
      <c r="I134" s="97">
        <v>71</v>
      </c>
      <c r="J134" s="98">
        <v>38</v>
      </c>
      <c r="K134" s="85"/>
      <c r="L134" s="93">
        <v>-0.68154236933475798</v>
      </c>
      <c r="M134" s="94">
        <v>2.892636733558092</v>
      </c>
      <c r="N134" s="94">
        <v>-1.5895103199025831</v>
      </c>
      <c r="O134" s="94">
        <v>1.776</v>
      </c>
      <c r="P134" s="94">
        <v>3.339</v>
      </c>
      <c r="Q134" s="94">
        <v>2.101</v>
      </c>
      <c r="R134" s="94">
        <v>4.4950000000000001</v>
      </c>
      <c r="S134" s="94">
        <v>4.3319999999999999</v>
      </c>
      <c r="T134" s="94">
        <v>-0.90300000000000002</v>
      </c>
      <c r="U134" s="94">
        <v>7.55</v>
      </c>
      <c r="V134" s="95">
        <v>2.2509999999999999</v>
      </c>
      <c r="W134" s="95">
        <f t="shared" si="1"/>
        <v>3.0547579995173213</v>
      </c>
    </row>
    <row r="135" spans="1:23" x14ac:dyDescent="0.35">
      <c r="A135" s="85" t="s">
        <v>582</v>
      </c>
      <c r="B135" s="85" t="s">
        <v>709</v>
      </c>
      <c r="C135" s="93">
        <v>1.6001817079933423</v>
      </c>
      <c r="D135" s="94">
        <v>2.5822705421283176</v>
      </c>
      <c r="E135" s="94">
        <v>2.323464181185142</v>
      </c>
      <c r="G135" s="107" t="s">
        <v>580</v>
      </c>
      <c r="H135" s="105">
        <v>58.993492167204309</v>
      </c>
      <c r="I135" s="97">
        <v>126</v>
      </c>
      <c r="J135" s="97">
        <v>30</v>
      </c>
      <c r="K135" s="112"/>
      <c r="L135" s="93">
        <v>15.18176908302255</v>
      </c>
      <c r="M135" s="94">
        <v>20.715768285872748</v>
      </c>
      <c r="N135" s="94">
        <v>4.5567723661529431</v>
      </c>
      <c r="O135" s="94">
        <v>-20.492999999999999</v>
      </c>
      <c r="P135" s="94">
        <v>6.3540000000000001</v>
      </c>
      <c r="Q135" s="94">
        <v>3.7650000000000001</v>
      </c>
      <c r="R135" s="94">
        <v>3.4649999999999999</v>
      </c>
      <c r="S135" s="94">
        <v>5.2539999999999996</v>
      </c>
      <c r="T135" s="94">
        <v>-1.9690000000000001</v>
      </c>
      <c r="U135" s="94">
        <v>4.1050000000000004</v>
      </c>
      <c r="V135" s="94">
        <v>2.766</v>
      </c>
      <c r="W135" s="95">
        <f t="shared" si="1"/>
        <v>2.4528673616567298</v>
      </c>
    </row>
    <row r="136" spans="1:23" x14ac:dyDescent="0.35">
      <c r="A136" s="85" t="s">
        <v>578</v>
      </c>
      <c r="B136" s="85" t="s">
        <v>710</v>
      </c>
      <c r="C136" s="93">
        <v>2.254611894692915</v>
      </c>
      <c r="D136" s="94">
        <v>2.3804077568891469</v>
      </c>
      <c r="E136" s="94">
        <v>3.1207966515608421</v>
      </c>
      <c r="G136" s="107" t="s">
        <v>417</v>
      </c>
      <c r="H136" s="105">
        <v>97.805585083414968</v>
      </c>
      <c r="I136" s="97">
        <v>4</v>
      </c>
      <c r="J136" s="97">
        <v>2</v>
      </c>
      <c r="K136" s="112"/>
      <c r="L136" s="93">
        <v>4.461608951013317</v>
      </c>
      <c r="M136" s="94">
        <v>4.8372986457609866</v>
      </c>
      <c r="N136" s="94">
        <v>3.9380027286605586</v>
      </c>
      <c r="O136" s="94">
        <v>2.9769999999999999</v>
      </c>
      <c r="P136" s="94">
        <v>3.6019999999999999</v>
      </c>
      <c r="Q136" s="94">
        <v>4.5449999999999999</v>
      </c>
      <c r="R136" s="94">
        <v>3.5750000000000002</v>
      </c>
      <c r="S136" s="94">
        <v>1.331</v>
      </c>
      <c r="T136" s="94">
        <v>-3.9009999999999998</v>
      </c>
      <c r="U136" s="94">
        <v>8.8819999999999997</v>
      </c>
      <c r="V136" s="94">
        <v>3.6469999999999998</v>
      </c>
      <c r="W136" s="95">
        <f t="shared" si="1"/>
        <v>2.7506022042249945</v>
      </c>
    </row>
    <row r="137" spans="1:23" x14ac:dyDescent="0.35">
      <c r="A137" s="85" t="s">
        <v>227</v>
      </c>
      <c r="B137" s="85" t="s">
        <v>711</v>
      </c>
      <c r="C137" s="93">
        <v>0.39781205843958389</v>
      </c>
      <c r="D137" s="94">
        <v>0.97590941056187042</v>
      </c>
      <c r="E137" s="94">
        <v>1.8214852479931931</v>
      </c>
      <c r="G137" s="107" t="s">
        <v>584</v>
      </c>
      <c r="H137" s="105">
        <v>80.276897229698847</v>
      </c>
      <c r="I137" s="97">
        <v>47</v>
      </c>
      <c r="J137" s="97">
        <v>32</v>
      </c>
      <c r="K137" s="112"/>
      <c r="L137" s="93">
        <v>1.8958108123027844</v>
      </c>
      <c r="M137" s="94">
        <v>0.67084458223160615</v>
      </c>
      <c r="N137" s="94">
        <v>2.7524343314004627</v>
      </c>
      <c r="O137" s="94">
        <v>5.1669999999999998</v>
      </c>
      <c r="P137" s="94">
        <v>1.944</v>
      </c>
      <c r="Q137" s="94">
        <v>2.9380000000000002</v>
      </c>
      <c r="R137" s="94">
        <v>4.0309999999999997</v>
      </c>
      <c r="S137" s="94">
        <v>2.5190000000000001</v>
      </c>
      <c r="T137" s="94">
        <v>-3.375</v>
      </c>
      <c r="U137" s="94">
        <v>3.0139999999999998</v>
      </c>
      <c r="V137" s="94">
        <v>1.6679999999999999</v>
      </c>
      <c r="W137" s="95">
        <f t="shared" si="1"/>
        <v>1.3986973292775318</v>
      </c>
    </row>
    <row r="138" spans="1:23" x14ac:dyDescent="0.35">
      <c r="A138" s="85" t="s">
        <v>227</v>
      </c>
      <c r="B138" s="85" t="s">
        <v>712</v>
      </c>
      <c r="C138" s="93">
        <v>2.9453399614758569</v>
      </c>
      <c r="D138" s="94">
        <v>3.265722456681952</v>
      </c>
      <c r="E138" s="94">
        <v>2.8132202997918521</v>
      </c>
      <c r="G138" s="107" t="s">
        <v>417</v>
      </c>
      <c r="H138" s="105">
        <v>88.920325519387234</v>
      </c>
      <c r="I138" s="97">
        <v>30</v>
      </c>
      <c r="J138" s="97">
        <v>19</v>
      </c>
      <c r="K138" s="112"/>
      <c r="L138" s="93">
        <v>-2.6394387292630763</v>
      </c>
      <c r="M138" s="94">
        <v>-1.029283831306939</v>
      </c>
      <c r="N138" s="94">
        <v>2.7681580195902979</v>
      </c>
      <c r="O138" s="94">
        <v>2.21</v>
      </c>
      <c r="P138" s="94">
        <v>3.1920000000000002</v>
      </c>
      <c r="Q138" s="94">
        <v>4.8159999999999998</v>
      </c>
      <c r="R138" s="94">
        <v>4.4550000000000001</v>
      </c>
      <c r="S138" s="94">
        <v>3.4510000000000001</v>
      </c>
      <c r="T138" s="94">
        <v>-4.3209999999999997</v>
      </c>
      <c r="U138" s="94">
        <v>8.2110000000000003</v>
      </c>
      <c r="V138" s="94">
        <v>5.3739999999999997</v>
      </c>
      <c r="W138" s="95">
        <f t="shared" si="1"/>
        <v>3.0394713782369021</v>
      </c>
    </row>
    <row r="139" spans="1:23" x14ac:dyDescent="0.35">
      <c r="A139" s="85" t="s">
        <v>582</v>
      </c>
      <c r="B139" s="85" t="s">
        <v>713</v>
      </c>
      <c r="C139" s="93">
        <v>8.8409433265779214E-2</v>
      </c>
      <c r="D139" s="94">
        <v>2.1857023030043443</v>
      </c>
      <c r="E139" s="94">
        <v>1.8249844059199605</v>
      </c>
      <c r="G139" s="107" t="s">
        <v>401</v>
      </c>
      <c r="H139" s="105">
        <v>75.182844770260857</v>
      </c>
      <c r="I139" s="97">
        <v>68</v>
      </c>
      <c r="J139" s="97">
        <v>5</v>
      </c>
      <c r="K139" s="112"/>
      <c r="L139" s="93">
        <v>2.2133548084844037</v>
      </c>
      <c r="M139" s="94">
        <v>2.4852005003105813</v>
      </c>
      <c r="N139" s="94">
        <v>1.8469916036571876</v>
      </c>
      <c r="O139" s="94">
        <v>1.3220000000000001</v>
      </c>
      <c r="P139" s="94">
        <v>0.66500000000000004</v>
      </c>
      <c r="Q139" s="94">
        <v>1.1579999999999999</v>
      </c>
      <c r="R139" s="94">
        <v>1.522</v>
      </c>
      <c r="S139" s="94">
        <v>0.30299999999999999</v>
      </c>
      <c r="T139" s="94">
        <v>-6.3419999999999996</v>
      </c>
      <c r="U139" s="94">
        <v>4.9130000000000003</v>
      </c>
      <c r="V139" s="94">
        <v>2.0419999999999998</v>
      </c>
      <c r="W139" s="95">
        <f t="shared" ref="W139:W165" si="2">AVERAGE(D139,E139)</f>
        <v>2.0053433544621524</v>
      </c>
    </row>
    <row r="140" spans="1:23" x14ac:dyDescent="0.35">
      <c r="A140" s="85" t="s">
        <v>227</v>
      </c>
      <c r="B140" s="85" t="s">
        <v>714</v>
      </c>
      <c r="C140" s="93">
        <v>-0.43793400391870518</v>
      </c>
      <c r="D140" s="94">
        <v>0.55931383652465527</v>
      </c>
      <c r="E140" s="94">
        <v>1.23940470018431</v>
      </c>
      <c r="G140" s="107" t="s">
        <v>417</v>
      </c>
      <c r="H140" s="105">
        <v>90.367632171249966</v>
      </c>
      <c r="I140" s="97">
        <v>27</v>
      </c>
      <c r="J140" s="97">
        <v>17</v>
      </c>
      <c r="K140" s="112"/>
      <c r="L140" s="93">
        <v>-2.9594413017355699</v>
      </c>
      <c r="M140" s="94">
        <v>-1.4353942591932869</v>
      </c>
      <c r="N140" s="94">
        <v>1.3839079426702983</v>
      </c>
      <c r="O140" s="94">
        <v>3.8370000000000002</v>
      </c>
      <c r="P140" s="94">
        <v>3.0379999999999998</v>
      </c>
      <c r="Q140" s="94">
        <v>2.9769999999999999</v>
      </c>
      <c r="R140" s="94">
        <v>2.2829999999999999</v>
      </c>
      <c r="S140" s="94">
        <v>1.9830000000000001</v>
      </c>
      <c r="T140" s="94">
        <v>-11.324999999999999</v>
      </c>
      <c r="U140" s="94">
        <v>5.5220000000000002</v>
      </c>
      <c r="V140" s="94">
        <v>5.4749999999999996</v>
      </c>
      <c r="W140" s="95">
        <f t="shared" si="2"/>
        <v>0.89935926835448265</v>
      </c>
    </row>
    <row r="141" spans="1:23" x14ac:dyDescent="0.35">
      <c r="A141" s="85" t="s">
        <v>578</v>
      </c>
      <c r="B141" s="85" t="s">
        <v>715</v>
      </c>
      <c r="C141" s="93">
        <v>-3.0583991155611168</v>
      </c>
      <c r="D141" s="94">
        <v>7.8407546755454582E-2</v>
      </c>
      <c r="E141" s="94">
        <v>2.1593525209882225</v>
      </c>
      <c r="G141" s="107" t="s">
        <v>401</v>
      </c>
      <c r="H141" s="105">
        <v>73.00518117550061</v>
      </c>
      <c r="I141" s="97">
        <v>76</v>
      </c>
      <c r="J141" s="97">
        <v>13</v>
      </c>
      <c r="K141" s="112"/>
      <c r="L141" s="93">
        <v>9.1445722464256534</v>
      </c>
      <c r="M141" s="94">
        <v>3.3957326498342781</v>
      </c>
      <c r="N141" s="94">
        <v>4.960700591697301</v>
      </c>
      <c r="O141" s="94">
        <v>4.2060000000000004</v>
      </c>
      <c r="P141" s="94">
        <v>5.0540000000000003</v>
      </c>
      <c r="Q141" s="94">
        <v>6.4610000000000003</v>
      </c>
      <c r="R141" s="94">
        <v>2.31</v>
      </c>
      <c r="S141" s="94">
        <v>-0.22</v>
      </c>
      <c r="T141" s="94">
        <v>-3.472</v>
      </c>
      <c r="U141" s="94">
        <v>3.327</v>
      </c>
      <c r="V141" s="94">
        <v>-8.6590000000000007</v>
      </c>
      <c r="W141" s="95">
        <f t="shared" si="2"/>
        <v>1.1188800338718385</v>
      </c>
    </row>
    <row r="142" spans="1:23" x14ac:dyDescent="0.35">
      <c r="A142" s="85" t="s">
        <v>582</v>
      </c>
      <c r="B142" s="85" t="s">
        <v>716</v>
      </c>
      <c r="C142" s="93">
        <v>-2.6688383810210325</v>
      </c>
      <c r="D142" s="94">
        <v>-1.5401833642449736</v>
      </c>
      <c r="E142" s="94">
        <v>1.2842213840550842</v>
      </c>
      <c r="G142" s="107" t="s">
        <v>580</v>
      </c>
      <c r="H142" s="105">
        <v>29.302112762792021</v>
      </c>
      <c r="I142" s="97">
        <v>156</v>
      </c>
      <c r="J142" s="97">
        <v>47</v>
      </c>
      <c r="K142" s="112"/>
      <c r="L142" s="93">
        <v>-1.4398357186292348</v>
      </c>
      <c r="M142" s="94">
        <v>4.3946958327458523</v>
      </c>
      <c r="N142" s="94">
        <v>2.6794256681504725</v>
      </c>
      <c r="O142" s="94">
        <v>4.9059999999999997</v>
      </c>
      <c r="P142" s="94">
        <v>4.7</v>
      </c>
      <c r="Q142" s="94">
        <v>0.76800000000000002</v>
      </c>
      <c r="R142" s="94">
        <v>-2.29</v>
      </c>
      <c r="S142" s="94">
        <v>-2.5</v>
      </c>
      <c r="T142" s="94">
        <v>-3.63</v>
      </c>
      <c r="U142" s="94">
        <v>0.5</v>
      </c>
      <c r="V142" s="94">
        <v>-2.5</v>
      </c>
      <c r="W142" s="95">
        <f t="shared" si="2"/>
        <v>-0.12798099009494468</v>
      </c>
    </row>
    <row r="143" spans="1:23" x14ac:dyDescent="0.35">
      <c r="A143" s="85" t="s">
        <v>586</v>
      </c>
      <c r="B143" s="85" t="s">
        <v>717</v>
      </c>
      <c r="C143" s="93">
        <v>-6.0912921553037958</v>
      </c>
      <c r="D143" s="94">
        <v>-2.539464764773447</v>
      </c>
      <c r="E143" s="94">
        <v>-1.6533032843941364</v>
      </c>
      <c r="G143" s="107" t="s">
        <v>401</v>
      </c>
      <c r="H143" s="105">
        <v>69.385821977853183</v>
      </c>
      <c r="I143" s="97">
        <v>92</v>
      </c>
      <c r="J143" s="97">
        <v>12</v>
      </c>
      <c r="K143" s="112"/>
      <c r="L143" s="93">
        <v>2.6903497466884523</v>
      </c>
      <c r="M143" s="94">
        <v>2.9334416518612043</v>
      </c>
      <c r="N143" s="94">
        <v>0.25550303164546423</v>
      </c>
      <c r="O143" s="94">
        <v>-3.4140000000000001</v>
      </c>
      <c r="P143" s="94">
        <v>-4.9119999999999999</v>
      </c>
      <c r="Q143" s="94">
        <v>1.5660000000000001</v>
      </c>
      <c r="R143" s="94">
        <v>4.9480000000000004</v>
      </c>
      <c r="S143" s="94">
        <v>1.0980000000000001</v>
      </c>
      <c r="T143" s="94">
        <v>-15.906000000000001</v>
      </c>
      <c r="U143" s="94">
        <v>-2.742</v>
      </c>
      <c r="V143" s="94">
        <v>1.3280000000000001</v>
      </c>
      <c r="W143" s="95">
        <f t="shared" si="2"/>
        <v>-2.0963840245837915</v>
      </c>
    </row>
    <row r="144" spans="1:23" x14ac:dyDescent="0.35">
      <c r="A144" s="85" t="s">
        <v>227</v>
      </c>
      <c r="B144" s="85" t="s">
        <v>718</v>
      </c>
      <c r="C144" s="93">
        <v>1.8041121232050594</v>
      </c>
      <c r="D144" s="94">
        <v>1.5622302939160004</v>
      </c>
      <c r="E144" s="94">
        <v>2.0743232215396867</v>
      </c>
      <c r="G144" s="107" t="s">
        <v>417</v>
      </c>
      <c r="H144" s="105">
        <v>96.904206369440487</v>
      </c>
      <c r="I144" s="97">
        <v>7</v>
      </c>
      <c r="J144" s="97">
        <v>5</v>
      </c>
      <c r="K144" s="112"/>
      <c r="L144" s="93">
        <v>-0.58830456899072281</v>
      </c>
      <c r="M144" s="94">
        <v>1.1877757159060018</v>
      </c>
      <c r="N144" s="94">
        <v>2.6577982753164227</v>
      </c>
      <c r="O144" s="94">
        <v>4.4889999999999999</v>
      </c>
      <c r="P144" s="94">
        <v>2.0710000000000002</v>
      </c>
      <c r="Q144" s="94">
        <v>2.5680000000000001</v>
      </c>
      <c r="R144" s="94">
        <v>1.95</v>
      </c>
      <c r="S144" s="94">
        <v>1.986</v>
      </c>
      <c r="T144" s="94">
        <v>-2.17</v>
      </c>
      <c r="U144" s="94">
        <v>5.3860000000000001</v>
      </c>
      <c r="V144" s="94">
        <v>2.6419999999999999</v>
      </c>
      <c r="W144" s="95">
        <f t="shared" si="2"/>
        <v>1.8182767577278436</v>
      </c>
    </row>
    <row r="145" spans="1:23" x14ac:dyDescent="0.35">
      <c r="A145" s="85" t="s">
        <v>227</v>
      </c>
      <c r="B145" s="85" t="s">
        <v>719</v>
      </c>
      <c r="C145" s="93">
        <v>1.2890197152698013</v>
      </c>
      <c r="D145" s="94">
        <v>2.1594279609995271</v>
      </c>
      <c r="E145" s="94">
        <v>1.9949438623463989</v>
      </c>
      <c r="G145" s="107" t="s">
        <v>417</v>
      </c>
      <c r="H145" s="105">
        <v>98.385388118004073</v>
      </c>
      <c r="I145" s="97">
        <v>2</v>
      </c>
      <c r="J145" s="97">
        <v>1</v>
      </c>
      <c r="K145" s="112"/>
      <c r="L145" s="93">
        <v>1.0060240943135659</v>
      </c>
      <c r="M145" s="94">
        <v>1.852039766494749</v>
      </c>
      <c r="N145" s="94">
        <v>2.4492180871562819</v>
      </c>
      <c r="O145" s="94">
        <v>1.59</v>
      </c>
      <c r="P145" s="94">
        <v>2.073</v>
      </c>
      <c r="Q145" s="94">
        <v>1.427</v>
      </c>
      <c r="R145" s="94">
        <v>2.867</v>
      </c>
      <c r="S145" s="94">
        <v>1.161</v>
      </c>
      <c r="T145" s="94">
        <v>-2.5070000000000001</v>
      </c>
      <c r="U145" s="94">
        <v>4.2210000000000001</v>
      </c>
      <c r="V145" s="94">
        <v>2.1339999999999999</v>
      </c>
      <c r="W145" s="95">
        <f t="shared" si="2"/>
        <v>2.077185911672963</v>
      </c>
    </row>
    <row r="146" spans="1:23" x14ac:dyDescent="0.35">
      <c r="A146" s="85" t="s">
        <v>578</v>
      </c>
      <c r="B146" s="85" t="s">
        <v>720</v>
      </c>
      <c r="C146" s="93">
        <v>4.1942484708972883</v>
      </c>
      <c r="D146" s="94">
        <v>3.7202264352869774</v>
      </c>
      <c r="E146" s="94">
        <v>3.3189477234561782</v>
      </c>
      <c r="G146" s="107" t="s">
        <v>401</v>
      </c>
      <c r="H146" s="105">
        <v>74.109663332036064</v>
      </c>
      <c r="I146" s="97">
        <v>72</v>
      </c>
      <c r="J146" s="97">
        <v>11</v>
      </c>
      <c r="K146" s="112"/>
      <c r="L146" s="93">
        <v>2.2704029453876053</v>
      </c>
      <c r="M146" s="94">
        <v>2.5430680885972134</v>
      </c>
      <c r="N146" s="94">
        <v>4.9538203190596066</v>
      </c>
      <c r="O146" s="94">
        <v>1.466</v>
      </c>
      <c r="P146" s="94">
        <v>2.165</v>
      </c>
      <c r="Q146" s="94">
        <v>3.3109999999999999</v>
      </c>
      <c r="R146" s="94">
        <v>2.7869999999999999</v>
      </c>
      <c r="S146" s="94">
        <v>3.0640000000000001</v>
      </c>
      <c r="T146" s="94">
        <v>3.387</v>
      </c>
      <c r="U146" s="94">
        <v>6.5279999999999996</v>
      </c>
      <c r="V146" s="94">
        <v>2.452</v>
      </c>
      <c r="W146" s="95">
        <f t="shared" si="2"/>
        <v>3.5195870793715778</v>
      </c>
    </row>
    <row r="147" spans="1:23" x14ac:dyDescent="0.35">
      <c r="A147" s="85" t="s">
        <v>578</v>
      </c>
      <c r="B147" s="85" t="s">
        <v>721</v>
      </c>
      <c r="C147" s="93">
        <v>7.1805428191797027</v>
      </c>
      <c r="D147" s="94">
        <v>7.3081795758255463</v>
      </c>
      <c r="E147" s="94">
        <v>7.0632908095879854</v>
      </c>
      <c r="G147" s="107" t="s">
        <v>424</v>
      </c>
      <c r="H147" s="105">
        <v>65.502149613905985</v>
      </c>
      <c r="I147" s="97">
        <v>113</v>
      </c>
      <c r="J147" s="97">
        <v>23</v>
      </c>
      <c r="K147" s="112"/>
      <c r="L147" s="93">
        <v>7.4999994632152305</v>
      </c>
      <c r="M147" s="94">
        <v>7.3999997470037826</v>
      </c>
      <c r="N147" s="94">
        <v>6.7000006901625362</v>
      </c>
      <c r="O147" s="94">
        <v>6</v>
      </c>
      <c r="P147" s="94">
        <v>6.9</v>
      </c>
      <c r="Q147" s="94">
        <v>7.1</v>
      </c>
      <c r="R147" s="94">
        <v>7.6</v>
      </c>
      <c r="S147" s="94">
        <v>7.4</v>
      </c>
      <c r="T147" s="94">
        <v>4.3899999999999997</v>
      </c>
      <c r="U147" s="94">
        <v>9.4</v>
      </c>
      <c r="V147" s="94">
        <v>8</v>
      </c>
      <c r="W147" s="95">
        <f t="shared" si="2"/>
        <v>7.1857351927067654</v>
      </c>
    </row>
    <row r="148" spans="1:23" x14ac:dyDescent="0.35">
      <c r="A148" s="85" t="s">
        <v>582</v>
      </c>
      <c r="B148" s="85" t="s">
        <v>722</v>
      </c>
      <c r="C148" s="93">
        <v>3.6476767570704727</v>
      </c>
      <c r="D148" s="94">
        <v>4.4330707554891102</v>
      </c>
      <c r="E148" s="94">
        <v>5.5432278987954442</v>
      </c>
      <c r="G148" s="107" t="s">
        <v>424</v>
      </c>
      <c r="H148" s="105">
        <v>68.134404341049418</v>
      </c>
      <c r="I148" s="97">
        <v>101</v>
      </c>
      <c r="J148" s="97">
        <v>21</v>
      </c>
      <c r="K148" s="112"/>
      <c r="L148" s="93">
        <v>4.500153559821273</v>
      </c>
      <c r="M148" s="94">
        <v>6.7815856006531599</v>
      </c>
      <c r="N148" s="94">
        <v>6.732461868324811</v>
      </c>
      <c r="O148" s="94">
        <v>6.1609999999999996</v>
      </c>
      <c r="P148" s="94">
        <v>6.867</v>
      </c>
      <c r="Q148" s="94">
        <v>6.7729999999999997</v>
      </c>
      <c r="R148" s="94">
        <v>6.9589999999999996</v>
      </c>
      <c r="S148" s="94">
        <v>6.9889999999999999</v>
      </c>
      <c r="T148" s="94">
        <v>4.8159999999999998</v>
      </c>
      <c r="U148" s="94">
        <v>4.9470000000000001</v>
      </c>
      <c r="V148" s="94">
        <v>4.6879999999999997</v>
      </c>
      <c r="W148" s="95">
        <f t="shared" si="2"/>
        <v>4.9881493271422777</v>
      </c>
    </row>
    <row r="149" spans="1:23" x14ac:dyDescent="0.35">
      <c r="A149" s="85" t="s">
        <v>578</v>
      </c>
      <c r="B149" s="85" t="s">
        <v>723</v>
      </c>
      <c r="C149" s="93">
        <v>-0.75178730142027028</v>
      </c>
      <c r="D149" s="94">
        <v>0.80617945124625834</v>
      </c>
      <c r="E149" s="94">
        <v>1.8254251122560072</v>
      </c>
      <c r="G149" s="107" t="s">
        <v>424</v>
      </c>
      <c r="H149" s="105">
        <v>67.301316099527455</v>
      </c>
      <c r="I149" s="97">
        <v>104</v>
      </c>
      <c r="J149" s="97">
        <v>19</v>
      </c>
      <c r="K149" s="112"/>
      <c r="L149" s="93">
        <v>7.2427962024964359</v>
      </c>
      <c r="M149" s="94">
        <v>2.6874955632055553</v>
      </c>
      <c r="N149" s="94">
        <v>0.98442510993386245</v>
      </c>
      <c r="O149" s="94">
        <v>3.1339999999999999</v>
      </c>
      <c r="P149" s="94">
        <v>3.4350000000000001</v>
      </c>
      <c r="Q149" s="94">
        <v>4.1779999999999999</v>
      </c>
      <c r="R149" s="94">
        <v>4.2229999999999999</v>
      </c>
      <c r="S149" s="94">
        <v>2.1150000000000002</v>
      </c>
      <c r="T149" s="94">
        <v>-6.1609999999999996</v>
      </c>
      <c r="U149" s="94">
        <v>1.5629999999999999</v>
      </c>
      <c r="V149" s="94">
        <v>2.6440000000000001</v>
      </c>
      <c r="W149" s="95">
        <f t="shared" si="2"/>
        <v>1.3158022817511328</v>
      </c>
    </row>
    <row r="150" spans="1:23" x14ac:dyDescent="0.35">
      <c r="A150" s="85" t="s">
        <v>582</v>
      </c>
      <c r="B150" s="85" t="s">
        <v>724</v>
      </c>
      <c r="C150" s="93">
        <v>4.1237007551626403</v>
      </c>
      <c r="D150" s="94">
        <v>4.5599643087248731</v>
      </c>
      <c r="E150" s="94">
        <v>5.0461931715429786</v>
      </c>
      <c r="G150" s="107" t="s">
        <v>401</v>
      </c>
      <c r="H150" s="105">
        <v>71.06383353175876</v>
      </c>
      <c r="I150" s="97">
        <v>84</v>
      </c>
      <c r="J150" s="97">
        <v>12</v>
      </c>
      <c r="K150" s="112"/>
      <c r="L150" s="93">
        <v>6.543507029266066</v>
      </c>
      <c r="M150" s="94">
        <v>6.1123430766482372</v>
      </c>
      <c r="N150" s="94">
        <v>5.9205885732303445</v>
      </c>
      <c r="O150" s="94">
        <v>5.74</v>
      </c>
      <c r="P150" s="94">
        <v>5.6</v>
      </c>
      <c r="Q150" s="94">
        <v>4.3479999999999999</v>
      </c>
      <c r="R150" s="94">
        <v>4.9669999999999996</v>
      </c>
      <c r="S150" s="94">
        <v>5.4640000000000004</v>
      </c>
      <c r="T150" s="94">
        <v>1.758</v>
      </c>
      <c r="U150" s="94">
        <v>5.2590000000000003</v>
      </c>
      <c r="V150" s="94">
        <v>5.399</v>
      </c>
      <c r="W150" s="95">
        <f t="shared" si="2"/>
        <v>4.8030787401339259</v>
      </c>
    </row>
    <row r="151" spans="1:23" x14ac:dyDescent="0.35">
      <c r="A151" s="85" t="s">
        <v>586</v>
      </c>
      <c r="B151" s="85" t="s">
        <v>725</v>
      </c>
      <c r="C151" s="93">
        <v>-2.1662761553291388</v>
      </c>
      <c r="D151" s="94">
        <v>-0.32249691451342599</v>
      </c>
      <c r="E151" s="94">
        <v>-0.73360970360328848</v>
      </c>
      <c r="G151" s="107" t="s">
        <v>424</v>
      </c>
      <c r="H151" s="105">
        <v>65.576173252463747</v>
      </c>
      <c r="I151" s="97">
        <v>112</v>
      </c>
      <c r="J151" s="97">
        <v>14</v>
      </c>
      <c r="K151" s="112"/>
      <c r="L151" s="93">
        <v>1.2699643652024184</v>
      </c>
      <c r="M151" s="94">
        <v>2.2290748047658071</v>
      </c>
      <c r="N151" s="94">
        <v>-0.91254496880826241</v>
      </c>
      <c r="O151" s="94">
        <v>-0.75600000000000001</v>
      </c>
      <c r="P151" s="94">
        <v>-6.7640000000000002</v>
      </c>
      <c r="Q151" s="94">
        <v>-4.7069999999999999</v>
      </c>
      <c r="R151" s="94">
        <v>-0.871</v>
      </c>
      <c r="S151" s="94">
        <v>0.11</v>
      </c>
      <c r="T151" s="94">
        <v>-7.6779999999999999</v>
      </c>
      <c r="U151" s="94">
        <v>-1.0269999999999999</v>
      </c>
      <c r="V151" s="94">
        <v>2.4809999999999999</v>
      </c>
      <c r="W151" s="95">
        <f t="shared" si="2"/>
        <v>-0.52805330905835723</v>
      </c>
    </row>
    <row r="152" spans="1:23" x14ac:dyDescent="0.35">
      <c r="A152" s="85" t="s">
        <v>582</v>
      </c>
      <c r="B152" s="85" t="s">
        <v>726</v>
      </c>
      <c r="C152" s="93">
        <v>-0.76139414796470017</v>
      </c>
      <c r="D152" s="94">
        <v>1.515468696628397</v>
      </c>
      <c r="E152" s="94">
        <v>1.7677168413122724</v>
      </c>
      <c r="G152" s="107" t="s">
        <v>424</v>
      </c>
      <c r="H152" s="105">
        <v>68.074683718311135</v>
      </c>
      <c r="I152" s="97">
        <v>102</v>
      </c>
      <c r="J152" s="97">
        <v>22</v>
      </c>
      <c r="K152" s="112"/>
      <c r="L152" s="93">
        <v>3.9976740023093633</v>
      </c>
      <c r="M152" s="94">
        <v>2.8755238423073424</v>
      </c>
      <c r="N152" s="94">
        <v>2.9713983451090038</v>
      </c>
      <c r="O152" s="94">
        <v>0.96799999999999997</v>
      </c>
      <c r="P152" s="94">
        <v>1.117</v>
      </c>
      <c r="Q152" s="94">
        <v>2.238</v>
      </c>
      <c r="R152" s="94">
        <v>2.625</v>
      </c>
      <c r="S152" s="94">
        <v>1.5880000000000001</v>
      </c>
      <c r="T152" s="94">
        <v>-8.8179999999999996</v>
      </c>
      <c r="U152" s="94">
        <v>4.4050000000000002</v>
      </c>
      <c r="V152" s="94">
        <v>2.5219999999999998</v>
      </c>
      <c r="W152" s="95">
        <f t="shared" si="2"/>
        <v>1.6415927689703347</v>
      </c>
    </row>
    <row r="153" spans="1:23" x14ac:dyDescent="0.35">
      <c r="A153" s="85" t="s">
        <v>593</v>
      </c>
      <c r="B153" s="85" t="s">
        <v>727</v>
      </c>
      <c r="C153" s="93">
        <v>6.2162334826369348</v>
      </c>
      <c r="D153" s="94">
        <v>4.4468380199269797</v>
      </c>
      <c r="E153" s="94">
        <v>5.2521474880545149</v>
      </c>
      <c r="G153" s="107" t="s">
        <v>584</v>
      </c>
      <c r="H153" s="105">
        <v>79.725975588542326</v>
      </c>
      <c r="I153" s="97">
        <v>49</v>
      </c>
      <c r="J153" s="97">
        <v>4</v>
      </c>
      <c r="K153" s="112"/>
      <c r="L153" s="93">
        <v>4.7899402070344061</v>
      </c>
      <c r="M153" s="94">
        <v>8.4913093926863557</v>
      </c>
      <c r="N153" s="94">
        <v>5.1666907030455222</v>
      </c>
      <c r="O153" s="94">
        <v>6.0839999999999996</v>
      </c>
      <c r="P153" s="94">
        <v>3.323</v>
      </c>
      <c r="Q153" s="94">
        <v>7.5019999999999998</v>
      </c>
      <c r="R153" s="94">
        <v>2.98</v>
      </c>
      <c r="S153" s="94">
        <v>0.78400000000000003</v>
      </c>
      <c r="T153" s="94">
        <v>1.94</v>
      </c>
      <c r="U153" s="94">
        <v>11.353</v>
      </c>
      <c r="V153" s="94">
        <v>5.5659999999999998</v>
      </c>
      <c r="W153" s="95">
        <f t="shared" si="2"/>
        <v>4.8494927539907469</v>
      </c>
    </row>
    <row r="154" spans="1:23" x14ac:dyDescent="0.35">
      <c r="A154" s="85" t="s">
        <v>578</v>
      </c>
      <c r="B154" s="85" t="s">
        <v>728</v>
      </c>
      <c r="C154" s="93">
        <v>5.7825311290508274</v>
      </c>
      <c r="D154" s="94">
        <v>5.9692666570670072</v>
      </c>
      <c r="E154" s="94">
        <v>6.9419375690879193</v>
      </c>
      <c r="G154" s="107" t="s">
        <v>401</v>
      </c>
      <c r="H154" s="105">
        <v>73.971445285212496</v>
      </c>
      <c r="I154" s="97">
        <v>74</v>
      </c>
      <c r="J154" s="97">
        <v>12</v>
      </c>
      <c r="K154" s="112"/>
      <c r="L154" s="93">
        <v>11.099999961554488</v>
      </c>
      <c r="M154" s="94">
        <v>10.200000101398992</v>
      </c>
      <c r="N154" s="94">
        <v>10.299999970545908</v>
      </c>
      <c r="O154" s="94">
        <v>2.9860000000000002</v>
      </c>
      <c r="P154" s="94">
        <v>-0.97699999999999998</v>
      </c>
      <c r="Q154" s="94">
        <v>4.7069999999999999</v>
      </c>
      <c r="R154" s="94">
        <v>0.88200000000000001</v>
      </c>
      <c r="S154" s="94">
        <v>-3.3889999999999998</v>
      </c>
      <c r="T154" s="94">
        <v>-2.9369999999999998</v>
      </c>
      <c r="U154" s="94">
        <v>4.62</v>
      </c>
      <c r="V154" s="94">
        <v>1.7889999999999999</v>
      </c>
      <c r="W154" s="95">
        <f t="shared" si="2"/>
        <v>6.4556021130774628</v>
      </c>
    </row>
    <row r="155" spans="1:23" x14ac:dyDescent="0.35">
      <c r="A155" s="85" t="s">
        <v>582</v>
      </c>
      <c r="B155" s="85" t="s">
        <v>729</v>
      </c>
      <c r="C155" s="93">
        <v>3.8036415692147996</v>
      </c>
      <c r="D155" s="94">
        <v>4.8231874950755982</v>
      </c>
      <c r="E155" s="94">
        <v>4.6664450945707259</v>
      </c>
      <c r="G155" s="107" t="s">
        <v>401</v>
      </c>
      <c r="H155" s="105">
        <v>69.556086736265442</v>
      </c>
      <c r="I155" s="97">
        <v>91</v>
      </c>
      <c r="J155" s="97">
        <v>14</v>
      </c>
      <c r="K155" s="112"/>
      <c r="L155" s="93">
        <v>3.8374556059033003</v>
      </c>
      <c r="M155" s="94">
        <v>3.586905826320109</v>
      </c>
      <c r="N155" s="94">
        <v>5.1063073243118193</v>
      </c>
      <c r="O155" s="94">
        <v>8.0060000000000002</v>
      </c>
      <c r="P155" s="94">
        <v>0.159</v>
      </c>
      <c r="Q155" s="94">
        <v>6.83</v>
      </c>
      <c r="R155" s="94">
        <v>5.5019999999999998</v>
      </c>
      <c r="S155" s="94">
        <v>7.782</v>
      </c>
      <c r="T155" s="94">
        <v>-1.3009999999999999</v>
      </c>
      <c r="U155" s="94">
        <v>6.0039999999999996</v>
      </c>
      <c r="V155" s="94">
        <v>4.9329999999999998</v>
      </c>
      <c r="W155" s="95">
        <f t="shared" si="2"/>
        <v>4.7448162948231616</v>
      </c>
    </row>
    <row r="156" spans="1:23" x14ac:dyDescent="0.35">
      <c r="A156" s="85" t="s">
        <v>227</v>
      </c>
      <c r="B156" s="85" t="s">
        <v>730</v>
      </c>
      <c r="C156" s="93">
        <v>-11.461901799668306</v>
      </c>
      <c r="D156" s="94">
        <v>-5.8295559101049328</v>
      </c>
      <c r="E156" s="94">
        <v>-4.15839598326132</v>
      </c>
      <c r="G156" s="107" t="s">
        <v>401</v>
      </c>
      <c r="H156" s="105">
        <v>74.079326507080765</v>
      </c>
      <c r="I156" s="97">
        <v>73</v>
      </c>
      <c r="J156" s="97">
        <v>39</v>
      </c>
      <c r="K156" s="112"/>
      <c r="L156" s="93">
        <v>0.23868172076808841</v>
      </c>
      <c r="M156" s="94">
        <v>-2.66978900718703E-2</v>
      </c>
      <c r="N156" s="94">
        <v>-6.5526312936576572</v>
      </c>
      <c r="O156" s="94">
        <v>-9.7880000000000003</v>
      </c>
      <c r="P156" s="94">
        <v>2.4169999999999998</v>
      </c>
      <c r="Q156" s="94">
        <v>2.36</v>
      </c>
      <c r="R156" s="94">
        <v>3.488</v>
      </c>
      <c r="S156" s="94">
        <v>3.1989999999999998</v>
      </c>
      <c r="T156" s="94">
        <v>-3.7530000000000001</v>
      </c>
      <c r="U156" s="94">
        <v>3.3530000000000002</v>
      </c>
      <c r="V156" s="94">
        <v>-30.26</v>
      </c>
      <c r="W156" s="95">
        <f t="shared" si="2"/>
        <v>-4.9939759466831264</v>
      </c>
    </row>
    <row r="157" spans="1:23" x14ac:dyDescent="0.35">
      <c r="A157" s="85" t="s">
        <v>593</v>
      </c>
      <c r="B157" s="85" t="s">
        <v>731</v>
      </c>
      <c r="C157" s="93">
        <v>1.9883983839421138</v>
      </c>
      <c r="D157" s="94">
        <v>1.9344501122165347</v>
      </c>
      <c r="E157" s="94">
        <v>2.9471413005852209</v>
      </c>
      <c r="G157" s="107" t="s">
        <v>417</v>
      </c>
      <c r="H157" s="105">
        <v>91.971735408895199</v>
      </c>
      <c r="I157" s="97">
        <v>22</v>
      </c>
      <c r="J157" s="97">
        <v>1</v>
      </c>
      <c r="K157" s="112"/>
      <c r="L157" s="93">
        <v>4.4846260849086921</v>
      </c>
      <c r="M157" s="94">
        <v>5.0533458252665762</v>
      </c>
      <c r="N157" s="94">
        <v>4.2843036857947956</v>
      </c>
      <c r="O157" s="94">
        <v>6.7869999999999999</v>
      </c>
      <c r="P157" s="94">
        <v>5.5609999999999999</v>
      </c>
      <c r="Q157" s="94">
        <v>0.73499999999999999</v>
      </c>
      <c r="R157" s="94">
        <v>1.3140000000000001</v>
      </c>
      <c r="S157" s="94">
        <v>1.1080000000000001</v>
      </c>
      <c r="T157" s="94">
        <v>-4.9569999999999999</v>
      </c>
      <c r="U157" s="94">
        <v>3.9159999999999999</v>
      </c>
      <c r="V157" s="94">
        <v>7.4109999999999996</v>
      </c>
      <c r="W157" s="95">
        <f t="shared" si="2"/>
        <v>2.4407957064008778</v>
      </c>
    </row>
    <row r="158" spans="1:23" x14ac:dyDescent="0.35">
      <c r="A158" s="85" t="s">
        <v>227</v>
      </c>
      <c r="B158" s="85" t="s">
        <v>732</v>
      </c>
      <c r="C158" s="93">
        <v>-0.15570963242206304</v>
      </c>
      <c r="D158" s="94">
        <v>0.73784192060712961</v>
      </c>
      <c r="E158" s="94">
        <v>1.4574433295258649</v>
      </c>
      <c r="G158" s="107" t="s">
        <v>417</v>
      </c>
      <c r="H158" s="105">
        <v>95.869504572225566</v>
      </c>
      <c r="I158" s="97">
        <v>16</v>
      </c>
      <c r="J158" s="97">
        <v>11</v>
      </c>
      <c r="K158" s="112"/>
      <c r="L158" s="93">
        <v>1.4789239471568232</v>
      </c>
      <c r="M158" s="94">
        <v>2.1394857010831609</v>
      </c>
      <c r="N158" s="94">
        <v>2.6074759063105102</v>
      </c>
      <c r="O158" s="94">
        <v>2.3929999999999998</v>
      </c>
      <c r="P158" s="94">
        <v>2.165</v>
      </c>
      <c r="Q158" s="94">
        <v>2.444</v>
      </c>
      <c r="R158" s="94">
        <v>1.7050000000000001</v>
      </c>
      <c r="S158" s="94">
        <v>1.6040000000000001</v>
      </c>
      <c r="T158" s="94">
        <v>-11.031000000000001</v>
      </c>
      <c r="U158" s="94">
        <v>7.5970000000000004</v>
      </c>
      <c r="V158" s="94">
        <v>4.0449999999999999</v>
      </c>
      <c r="W158" s="95">
        <f t="shared" si="2"/>
        <v>1.0976426250664972</v>
      </c>
    </row>
    <row r="159" spans="1:23" x14ac:dyDescent="0.35">
      <c r="A159" s="85" t="s">
        <v>586</v>
      </c>
      <c r="B159" s="85" t="s">
        <v>733</v>
      </c>
      <c r="C159" s="93">
        <v>1.6858959431595322</v>
      </c>
      <c r="D159" s="94">
        <v>2.0522235488571683</v>
      </c>
      <c r="E159" s="94">
        <v>2.1214909700318696</v>
      </c>
      <c r="G159" s="107" t="s">
        <v>417</v>
      </c>
      <c r="H159" s="105">
        <v>95.916666666666671</v>
      </c>
      <c r="I159" s="97">
        <v>14</v>
      </c>
      <c r="J159" s="97">
        <v>1</v>
      </c>
      <c r="K159" s="112"/>
      <c r="L159" s="93">
        <v>2.249545852369943</v>
      </c>
      <c r="M159" s="94">
        <v>1.8420810710110016</v>
      </c>
      <c r="N159" s="94">
        <v>2.4519730353603584</v>
      </c>
      <c r="O159" s="94">
        <v>2.7069999999999999</v>
      </c>
      <c r="P159" s="94">
        <v>1.6679999999999999</v>
      </c>
      <c r="Q159" s="94">
        <v>2.242</v>
      </c>
      <c r="R159" s="94">
        <v>2.9449999999999998</v>
      </c>
      <c r="S159" s="94">
        <v>2.2949999999999999</v>
      </c>
      <c r="T159" s="94">
        <v>-2.7679999999999998</v>
      </c>
      <c r="U159" s="94">
        <v>5.9470000000000001</v>
      </c>
      <c r="V159" s="94">
        <v>2.0680000000000001</v>
      </c>
      <c r="W159" s="95">
        <f t="shared" si="2"/>
        <v>2.0868572594445189</v>
      </c>
    </row>
    <row r="160" spans="1:23" x14ac:dyDescent="0.35">
      <c r="A160" s="85" t="s">
        <v>586</v>
      </c>
      <c r="B160" s="85" t="s">
        <v>734</v>
      </c>
      <c r="C160" s="93">
        <v>0.91343850289404838</v>
      </c>
      <c r="D160" s="94">
        <v>2.2569945604846264</v>
      </c>
      <c r="E160" s="94">
        <v>2.3762166744240032</v>
      </c>
      <c r="G160" s="107" t="s">
        <v>584</v>
      </c>
      <c r="H160" s="105">
        <v>81.172173305315454</v>
      </c>
      <c r="I160" s="97">
        <v>43</v>
      </c>
      <c r="J160" s="97">
        <v>5</v>
      </c>
      <c r="K160" s="112"/>
      <c r="L160" s="93">
        <v>3.5381787068568795</v>
      </c>
      <c r="M160" s="94">
        <v>4.6375386431141186</v>
      </c>
      <c r="N160" s="94">
        <v>3.2387912162160193</v>
      </c>
      <c r="O160" s="94">
        <v>0.371</v>
      </c>
      <c r="P160" s="94">
        <v>1.69</v>
      </c>
      <c r="Q160" s="94">
        <v>1.6279999999999999</v>
      </c>
      <c r="R160" s="94">
        <v>0.47799999999999998</v>
      </c>
      <c r="S160" s="94">
        <v>0.35</v>
      </c>
      <c r="T160" s="94">
        <v>-6.1150000000000002</v>
      </c>
      <c r="U160" s="94">
        <v>4.4020000000000001</v>
      </c>
      <c r="V160" s="94">
        <v>4.8860000000000001</v>
      </c>
      <c r="W160" s="95">
        <f t="shared" si="2"/>
        <v>2.3166056174543148</v>
      </c>
    </row>
    <row r="161" spans="1:23" x14ac:dyDescent="0.35">
      <c r="A161" s="85" t="s">
        <v>578</v>
      </c>
      <c r="B161" s="85" t="s">
        <v>735</v>
      </c>
      <c r="C161" s="93">
        <v>4.966226080132774</v>
      </c>
      <c r="D161" s="94">
        <v>5.1922367720162121</v>
      </c>
      <c r="E161" s="94">
        <v>5.7634254597189516</v>
      </c>
      <c r="G161" s="107" t="s">
        <v>424</v>
      </c>
      <c r="H161" s="105">
        <v>68.759088115548678</v>
      </c>
      <c r="I161" s="97">
        <v>99</v>
      </c>
      <c r="J161" s="97">
        <v>18</v>
      </c>
      <c r="K161" s="112"/>
      <c r="L161" s="93">
        <v>7.1024448870695505</v>
      </c>
      <c r="M161" s="94">
        <v>7.2965503696402285</v>
      </c>
      <c r="N161" s="94">
        <v>6.8738384408295845</v>
      </c>
      <c r="O161" s="94">
        <v>7.2190000000000003</v>
      </c>
      <c r="P161" s="94">
        <v>5.9320000000000004</v>
      </c>
      <c r="Q161" s="94">
        <v>4.3949999999999996</v>
      </c>
      <c r="R161" s="94">
        <v>5.88</v>
      </c>
      <c r="S161" s="94">
        <v>5.9820000000000002</v>
      </c>
      <c r="T161" s="94">
        <v>1.996</v>
      </c>
      <c r="U161" s="94">
        <v>7.4029999999999996</v>
      </c>
      <c r="V161" s="94">
        <v>5.6689999999999996</v>
      </c>
      <c r="W161" s="95">
        <f t="shared" si="2"/>
        <v>5.4778311158675823</v>
      </c>
    </row>
    <row r="162" spans="1:23" x14ac:dyDescent="0.35">
      <c r="A162" s="85" t="s">
        <v>578</v>
      </c>
      <c r="B162" s="85" t="s">
        <v>736</v>
      </c>
      <c r="C162" s="93">
        <v>6.367284609117374</v>
      </c>
      <c r="D162" s="94">
        <v>8.0753375154714711</v>
      </c>
      <c r="E162" s="94">
        <v>8.6445538917790046</v>
      </c>
      <c r="G162" s="107" t="s">
        <v>424</v>
      </c>
      <c r="H162" s="105">
        <v>62.623537935388953</v>
      </c>
      <c r="I162" s="97">
        <v>120</v>
      </c>
      <c r="J162" s="97">
        <v>24</v>
      </c>
      <c r="K162" s="112"/>
      <c r="L162" s="93">
        <v>12.410056463111571</v>
      </c>
      <c r="M162" s="94">
        <v>7.2891294784445284</v>
      </c>
      <c r="N162" s="94">
        <v>9.6841913021478785</v>
      </c>
      <c r="O162" s="94">
        <v>6.9870000000000001</v>
      </c>
      <c r="P162" s="94">
        <v>6.69</v>
      </c>
      <c r="Q162" s="94">
        <v>6.94</v>
      </c>
      <c r="R162" s="94">
        <v>7.4649999999999999</v>
      </c>
      <c r="S162" s="94">
        <v>7.359</v>
      </c>
      <c r="T162" s="94">
        <v>2.867</v>
      </c>
      <c r="U162" s="94">
        <v>2.5619999999999998</v>
      </c>
      <c r="V162" s="94">
        <v>8.0180000000000007</v>
      </c>
      <c r="W162" s="95">
        <f t="shared" si="2"/>
        <v>8.3599457036252378</v>
      </c>
    </row>
    <row r="163" spans="1:23" x14ac:dyDescent="0.35">
      <c r="A163" s="85" t="s">
        <v>593</v>
      </c>
      <c r="B163" s="85" t="s">
        <v>737</v>
      </c>
      <c r="C163" s="93">
        <v>-1.1017371120758623</v>
      </c>
      <c r="D163" s="94">
        <v>-1.4008554823266794</v>
      </c>
      <c r="E163" s="94">
        <v>0.43888765074564517</v>
      </c>
      <c r="G163" s="107" t="s">
        <v>580</v>
      </c>
      <c r="H163" s="105">
        <v>44.737558430285063</v>
      </c>
      <c r="I163" s="97">
        <v>145</v>
      </c>
      <c r="J163" s="97">
        <v>11</v>
      </c>
      <c r="K163" s="112"/>
      <c r="L163" s="93">
        <v>16.665428768467855</v>
      </c>
      <c r="M163" s="94">
        <v>1.9894927620720551</v>
      </c>
      <c r="N163" s="94">
        <v>2.3769293269800476</v>
      </c>
      <c r="O163" s="94">
        <v>-27.995000000000001</v>
      </c>
      <c r="P163" s="94">
        <v>-9.375</v>
      </c>
      <c r="Q163" s="94">
        <v>-5.0720000000000001</v>
      </c>
      <c r="R163" s="94">
        <v>0.752</v>
      </c>
      <c r="S163" s="94">
        <v>1.4</v>
      </c>
      <c r="T163" s="94">
        <v>-8.5</v>
      </c>
      <c r="U163" s="94">
        <v>-1</v>
      </c>
      <c r="V163" s="94">
        <v>1.5</v>
      </c>
      <c r="W163" s="95">
        <f t="shared" si="2"/>
        <v>-0.48098391579051714</v>
      </c>
    </row>
    <row r="164" spans="1:23" x14ac:dyDescent="0.35">
      <c r="A164" s="85" t="s">
        <v>582</v>
      </c>
      <c r="B164" s="85" t="s">
        <v>738</v>
      </c>
      <c r="C164" s="93">
        <v>1.6991659105087376</v>
      </c>
      <c r="D164" s="94">
        <v>2.110140268966143</v>
      </c>
      <c r="E164" s="94">
        <v>3.0449788505192199</v>
      </c>
      <c r="G164" s="107" t="s">
        <v>424</v>
      </c>
      <c r="H164" s="105">
        <v>61.004320674622747</v>
      </c>
      <c r="I164" s="97">
        <v>124</v>
      </c>
      <c r="J164" s="97">
        <v>29</v>
      </c>
      <c r="K164" s="112"/>
      <c r="L164" s="93">
        <v>7.5975932105319126</v>
      </c>
      <c r="M164" s="94">
        <v>5.0572317397973361</v>
      </c>
      <c r="N164" s="94">
        <v>4.6979923625298614</v>
      </c>
      <c r="O164" s="94">
        <v>2.92</v>
      </c>
      <c r="P164" s="94">
        <v>3.7770000000000001</v>
      </c>
      <c r="Q164" s="94">
        <v>3.504</v>
      </c>
      <c r="R164" s="94">
        <v>4.0350000000000001</v>
      </c>
      <c r="S164" s="94">
        <v>1.4410000000000001</v>
      </c>
      <c r="T164" s="94">
        <v>-2.7850000000000001</v>
      </c>
      <c r="U164" s="94">
        <v>4.5990000000000002</v>
      </c>
      <c r="V164" s="94">
        <v>3.4409999999999998</v>
      </c>
      <c r="W164" s="95">
        <f t="shared" si="2"/>
        <v>2.5775595597426815</v>
      </c>
    </row>
    <row r="165" spans="1:23" x14ac:dyDescent="0.35">
      <c r="A165" s="85" t="s">
        <v>582</v>
      </c>
      <c r="B165" s="85" t="s">
        <v>739</v>
      </c>
      <c r="C165" s="93">
        <v>3.5464749905308901</v>
      </c>
      <c r="D165" s="94">
        <v>2.7818952866475843</v>
      </c>
      <c r="E165" s="94">
        <v>2.7261309103552733</v>
      </c>
      <c r="G165" s="107" t="s">
        <v>580</v>
      </c>
      <c r="H165" s="105">
        <v>55.033873809516088</v>
      </c>
      <c r="I165" s="97">
        <v>133</v>
      </c>
      <c r="J165" s="97">
        <v>33</v>
      </c>
      <c r="K165" s="112"/>
      <c r="L165" s="93">
        <v>17.615397198362849</v>
      </c>
      <c r="M165" s="94">
        <v>10.75800212279124</v>
      </c>
      <c r="N165" s="94">
        <v>3.9762602630956336</v>
      </c>
      <c r="O165" s="94">
        <v>1.794</v>
      </c>
      <c r="P165" s="94">
        <v>0.47799999999999998</v>
      </c>
      <c r="Q165" s="94">
        <v>4.9829999999999997</v>
      </c>
      <c r="R165" s="94">
        <v>4.7320000000000002</v>
      </c>
      <c r="S165" s="94">
        <v>-6.1219999999999999</v>
      </c>
      <c r="T165" s="94">
        <v>-7.8250000000000002</v>
      </c>
      <c r="U165" s="94">
        <v>8.4619999999999997</v>
      </c>
      <c r="V165" s="94">
        <v>3.0289999999999999</v>
      </c>
      <c r="W165" s="95">
        <f t="shared" si="2"/>
        <v>2.7540130985014288</v>
      </c>
    </row>
  </sheetData>
  <mergeCells count="3">
    <mergeCell ref="A7:B7"/>
    <mergeCell ref="C8:E8"/>
    <mergeCell ref="L8:V8"/>
  </mergeCells>
  <hyperlinks>
    <hyperlink ref="A1" location="Index!A1" display="Back to Index" xr:uid="{6BF330F3-F97C-4A39-AF03-9E1962E955F9}"/>
    <hyperlink ref="A4" r:id="rId1" display="http://dev.worldeconomics.com/Concepts/World-Economics-GDP-Database/" xr:uid="{1D915E97-4A17-4892-9891-00FEF28F4FBE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E4B67-96D9-42FF-8857-62AB5F187211}">
  <dimension ref="A1:U40"/>
  <sheetViews>
    <sheetView topLeftCell="J1" zoomScale="96" zoomScaleNormal="96" workbookViewId="0">
      <selection activeCell="U23" sqref="U23"/>
    </sheetView>
  </sheetViews>
  <sheetFormatPr defaultRowHeight="14.5" x14ac:dyDescent="0.35"/>
  <cols>
    <col min="2" max="2" width="14.453125" customWidth="1"/>
    <col min="3" max="3" width="29.453125" customWidth="1"/>
    <col min="4" max="4" width="12.54296875" customWidth="1"/>
    <col min="5" max="6" width="21.453125" customWidth="1"/>
    <col min="7" max="7" width="27.81640625" bestFit="1" customWidth="1"/>
    <col min="8" max="8" width="27.81640625" customWidth="1"/>
    <col min="9" max="9" width="21" customWidth="1"/>
    <col min="10" max="10" width="33.453125" customWidth="1"/>
    <col min="11" max="11" width="16" customWidth="1"/>
    <col min="12" max="12" width="17.453125" customWidth="1"/>
    <col min="13" max="13" width="13.1796875" customWidth="1"/>
    <col min="14" max="14" width="13.54296875" customWidth="1"/>
    <col min="15" max="15" width="19.54296875" bestFit="1" customWidth="1"/>
    <col min="16" max="16" width="19.54296875" customWidth="1"/>
    <col min="17" max="17" width="15" customWidth="1"/>
    <col min="18" max="18" width="7.1796875" customWidth="1"/>
    <col min="19" max="19" width="10" customWidth="1"/>
    <col min="20" max="20" width="5.54296875" customWidth="1"/>
    <col min="21" max="21" width="13.1796875" customWidth="1"/>
  </cols>
  <sheetData>
    <row r="1" spans="1:21" x14ac:dyDescent="0.35">
      <c r="L1" s="5">
        <f>Assumption!F56</f>
        <v>0.2</v>
      </c>
      <c r="M1" s="5">
        <f>Assumption!G56</f>
        <v>0.4</v>
      </c>
      <c r="N1" s="5">
        <f>Assumption!H56</f>
        <v>0.4</v>
      </c>
      <c r="O1" s="5">
        <f>Assumption!E56</f>
        <v>0.5</v>
      </c>
      <c r="P1" s="5">
        <f>Assumption!E57</f>
        <v>0.3</v>
      </c>
      <c r="Q1" s="5">
        <f>Assumption!E58</f>
        <v>0.2</v>
      </c>
      <c r="U1" t="s">
        <v>519</v>
      </c>
    </row>
    <row r="2" spans="1:21" x14ac:dyDescent="0.35">
      <c r="B2" s="39" t="s">
        <v>383</v>
      </c>
      <c r="C2" s="39" t="s">
        <v>384</v>
      </c>
      <c r="D2" s="39" t="s">
        <v>61</v>
      </c>
      <c r="E2" s="39" t="s">
        <v>385</v>
      </c>
      <c r="F2" s="39" t="s">
        <v>389</v>
      </c>
      <c r="G2" s="39" t="s">
        <v>388</v>
      </c>
      <c r="H2" s="39" t="s">
        <v>488</v>
      </c>
      <c r="I2" s="39" t="s">
        <v>411</v>
      </c>
      <c r="J2" s="39" t="s">
        <v>482</v>
      </c>
      <c r="L2" s="46" t="s">
        <v>485</v>
      </c>
      <c r="M2" s="39" t="s">
        <v>486</v>
      </c>
      <c r="N2" s="39" t="s">
        <v>487</v>
      </c>
      <c r="O2" t="s">
        <v>499</v>
      </c>
      <c r="P2" t="s">
        <v>500</v>
      </c>
      <c r="Q2" t="s">
        <v>502</v>
      </c>
    </row>
    <row r="3" spans="1:21" x14ac:dyDescent="0.35">
      <c r="A3" t="s">
        <v>432</v>
      </c>
      <c r="B3" t="s">
        <v>473</v>
      </c>
      <c r="C3" t="str" cm="1">
        <f t="array" ref="C3">_xll.FDSB(B3,"FG_COMPANY_NAME")</f>
        <v>Chinese Offshore Renminbi per U.S. Dollar</v>
      </c>
      <c r="D3" cm="1">
        <f t="array" ref="D3">_xll.FDSB(B3,"FG_PRICE(0)")</f>
        <v>7.2834500000000002</v>
      </c>
      <c r="E3" cm="1">
        <f t="array" ref="E3">_xll.FDSB(B3,"FG_PRICE_CHANGE(0,-1AY)")</f>
        <v>0.66131353000000004</v>
      </c>
      <c r="F3" cm="1">
        <f t="array" ref="F3">_xll.FDSB(B3,"FG_PRICE_CHANGE(0,-1AM)")</f>
        <v>4.9448012999999999E-2</v>
      </c>
      <c r="G3" cm="1">
        <f t="array" ref="G3">_xll.FDSB(B3,"FG_PRICE_CHANGE(0,-3AM)")</f>
        <v>0.49533843999999999</v>
      </c>
      <c r="H3" cm="1">
        <f t="array" ref="H3">_xll.FDSB(B3,"FG_PRICE_CHANGE(0,-6AM)")</f>
        <v>1.0628820000000001</v>
      </c>
      <c r="I3" cm="1">
        <f t="array" ref="I3">_xll.FDS(B3,"STD(FG_PRICE_CHANGE(0,-1AY,AM))")</f>
        <v>0.84200039513466096</v>
      </c>
      <c r="J3" cm="1">
        <f t="array" ref="J3">_xll.FDS(B3,"STD(FG_PRICE_CHANGE(0,-3AY,M))")*SQRT(12)</f>
        <v>6.0440926118942615</v>
      </c>
      <c r="L3">
        <f t="shared" ref="L3:L23" si="0">(1-(_xlfn.PERCENTRANK.EXC($F$3:$F$23,F3)))*100</f>
        <v>41</v>
      </c>
      <c r="M3">
        <f t="shared" ref="M3:M23" si="1">(1-(_xlfn.PERCENTRANK.EXC($G$3:$G$23,G3)))*100</f>
        <v>36.4</v>
      </c>
      <c r="N3">
        <f t="shared" ref="N3:N23" si="2">(1-(_xlfn.PERCENTRANK.EXC($H$3:$H$23,H3)))*100</f>
        <v>54.6</v>
      </c>
      <c r="O3">
        <f>SUMPRODUCT($L$1:$N$1,L3:N3)</f>
        <v>44.600000000000009</v>
      </c>
      <c r="P3">
        <f t="shared" ref="P3:P23" si="3">100- (_xlfn.PERCENTRANK.EXC($J$3:$J$23,J3)*100)</f>
        <v>63.7</v>
      </c>
      <c r="Q3">
        <f>VLOOKUP(A3,CAD!$A$3:$J$23, 10, FALSE)</f>
        <v>59</v>
      </c>
      <c r="S3">
        <f>SUMPRODUCT($O$1:$Q$1,O3:Q3)</f>
        <v>53.210000000000008</v>
      </c>
      <c r="U3" cm="1">
        <f t="array" ref="U3">_xlfn.PERCENTRANK.EXC(_xlfn._xlws.FILTER(S$3:S$23, ISNUMBER(S$3:S$23)),S3)*100</f>
        <v>45.4</v>
      </c>
    </row>
    <row r="4" spans="1:21" x14ac:dyDescent="0.35">
      <c r="A4" t="s">
        <v>27</v>
      </c>
      <c r="B4" t="s">
        <v>480</v>
      </c>
      <c r="C4" t="str" cm="1">
        <f t="array" ref="C4">_xll.FDSB(B4,"FG_COMPANY_NAME")</f>
        <v>Chilean Peso per U.S. Dollar</v>
      </c>
      <c r="D4" cm="1">
        <f t="array" ref="D4">_xll.FDSB(B4,"FG_PRICE(0)")</f>
        <v>939.97</v>
      </c>
      <c r="E4" cm="1">
        <f t="array" ref="E4">_xll.FDSB(B4,"FG_PRICE_CHANGE(0,-1AY)")</f>
        <v>15.681494000000001</v>
      </c>
      <c r="F4" cm="1">
        <f t="array" ref="F4">_xll.FDSB(B4,"FG_PRICE_CHANGE(0,-1AM)")</f>
        <v>1.4549494000000001</v>
      </c>
      <c r="G4" cm="1">
        <f t="array" ref="G4">_xll.FDSB(B4,"FG_PRICE_CHANGE(0,-3AM)")</f>
        <v>-1.6587794</v>
      </c>
      <c r="H4" cm="1">
        <f t="array" ref="H4">_xll.FDSB(B4,"FG_PRICE_CHANGE(0,-6AM)")</f>
        <v>3.1732201999999998</v>
      </c>
      <c r="I4" cm="1">
        <f t="array" ref="I4">_xll.FDS(B4,"STD(FG_PRICE_CHANGE(0,-1AY,AM))")</f>
        <v>4.4584566442133902</v>
      </c>
      <c r="J4" cm="1">
        <f t="array" ref="J4">_xll.FDS(B4,"STD(FG_PRICE_CHANGE(0,-3AY,M))")*SQRT(12)</f>
        <v>15.528215223944912</v>
      </c>
      <c r="L4">
        <f t="shared" si="0"/>
        <v>18.200000000000006</v>
      </c>
      <c r="M4">
        <f t="shared" si="1"/>
        <v>77.3</v>
      </c>
      <c r="N4">
        <f t="shared" si="2"/>
        <v>36.4</v>
      </c>
      <c r="O4">
        <f t="shared" ref="O4:O23" si="4">SUMPRODUCT($L$1:$N$1,L4:N4)</f>
        <v>49.120000000000005</v>
      </c>
      <c r="P4">
        <f t="shared" si="3"/>
        <v>9.0999999999999943</v>
      </c>
      <c r="Q4">
        <f>VLOOKUP(A4,CAD!$A$3:$J$23, 10, FALSE)</f>
        <v>9</v>
      </c>
      <c r="S4">
        <f t="shared" ref="S4:S23" si="5">SUMPRODUCT($O$1:$Q$1,O4:Q4)</f>
        <v>29.09</v>
      </c>
      <c r="U4" cm="1">
        <f t="array" ref="U4">_xlfn.PERCENTRANK.EXC(_xlfn._xlws.FILTER(S$3:S$23, ISNUMBER(S$3:S$23)),S4)*100</f>
        <v>13.600000000000001</v>
      </c>
    </row>
    <row r="5" spans="1:21" x14ac:dyDescent="0.35">
      <c r="A5" t="s">
        <v>35</v>
      </c>
      <c r="B5" t="s">
        <v>469</v>
      </c>
      <c r="C5" t="str" cm="1">
        <f t="array" ref="C5">_xll.FDSB(B5,"FG_COMPANY_NAME")</f>
        <v>Indonesian Rupiah per U.S. Dollar</v>
      </c>
      <c r="D5" cm="1">
        <f t="array" ref="D5">_xll.FDSB(B5,"FG_PRICE(0)")</f>
        <v>16190</v>
      </c>
      <c r="E5" cm="1">
        <f t="array" ref="E5">_xll.FDSB(B5,"FG_PRICE_CHANGE(0,-1AY)")</f>
        <v>7.9693199999999997</v>
      </c>
      <c r="F5" cm="1">
        <f t="array" ref="F5">_xll.FDSB(B5,"FG_PRICE_CHANGE(0,-1AM)")</f>
        <v>-1.0693550000000001</v>
      </c>
      <c r="G5" cm="1">
        <f t="array" ref="G5">_xll.FDSB(B5,"FG_PRICE_CHANGE(0,-3AM)")</f>
        <v>-0.39987563999999998</v>
      </c>
      <c r="H5" cm="1">
        <f t="array" ref="H5">_xll.FDSB(B5,"FG_PRICE_CHANGE(0,-6AM)")</f>
        <v>3.6823510000000002</v>
      </c>
      <c r="I5" cm="1">
        <f t="array" ref="I5">_xll.FDS(B5,"STD(FG_PRICE_CHANGE(0,-1AY,AM))")</f>
        <v>1.7150523323537601</v>
      </c>
      <c r="J5" cm="1">
        <f t="array" ref="J5">_xll.FDS(B5,"STD(FG_PRICE_CHANGE(0,-3AY,M))")*SQRT(12)</f>
        <v>5.3094312806956268</v>
      </c>
      <c r="L5">
        <f t="shared" si="0"/>
        <v>72.8</v>
      </c>
      <c r="M5">
        <f t="shared" si="1"/>
        <v>63.7</v>
      </c>
      <c r="N5">
        <f t="shared" si="2"/>
        <v>27.3</v>
      </c>
      <c r="O5">
        <f t="shared" si="4"/>
        <v>50.960000000000008</v>
      </c>
      <c r="P5">
        <f t="shared" si="3"/>
        <v>72.8</v>
      </c>
      <c r="Q5">
        <f>VLOOKUP(A5,CAD!$A$3:$J$23, 10, FALSE)</f>
        <v>36.299999999999997</v>
      </c>
      <c r="S5">
        <f t="shared" si="5"/>
        <v>54.580000000000005</v>
      </c>
      <c r="U5" cm="1">
        <f t="array" ref="U5">_xlfn.PERCENTRANK.EXC(_xlfn._xlws.FILTER(S$3:S$23, ISNUMBER(S$3:S$23)),S5)*100</f>
        <v>54.500000000000007</v>
      </c>
    </row>
    <row r="6" spans="1:21" x14ac:dyDescent="0.35">
      <c r="A6" t="s">
        <v>30</v>
      </c>
      <c r="B6" t="s">
        <v>479</v>
      </c>
      <c r="C6" t="str" cm="1">
        <f t="array" ref="C6">_xll.FDSB(B6,"FG_COMPANY_NAME")</f>
        <v>Philippines Peso per U.S. Dollar</v>
      </c>
      <c r="D6" cm="1">
        <f t="array" ref="D6">_xll.FDSB(B6,"FG_PRICE(0)")</f>
        <v>58.344999999999999</v>
      </c>
      <c r="E6" cm="1">
        <f t="array" ref="E6">_xll.FDSB(B6,"FG_PRICE_CHANGE(0,-1AY)")</f>
        <v>7.0216656000000004</v>
      </c>
      <c r="F6" cm="1">
        <f t="array" ref="F6">_xll.FDSB(B6,"FG_PRICE_CHANGE(0,-1AM)")</f>
        <v>-0.67499279999999995</v>
      </c>
      <c r="G6" cm="1">
        <f t="array" ref="G6">_xll.FDSB(B6,"FG_PRICE_CHANGE(0,-3AM)")</f>
        <v>1.2705564</v>
      </c>
      <c r="H6" cm="1">
        <f t="array" ref="H6">_xll.FDSB(B6,"FG_PRICE_CHANGE(0,-6AM)")</f>
        <v>4.2992590000000002</v>
      </c>
      <c r="I6" cm="1">
        <f t="array" ref="I6">_xll.FDS(B6,"STD(FG_PRICE_CHANGE(0,-1AY,AM))")</f>
        <v>1.6208819719702701</v>
      </c>
      <c r="J6" cm="1">
        <f t="array" ref="J6">_xll.FDS(B6,"STD(FG_PRICE_CHANGE(0,-3AY,M))")*SQRT(12)</f>
        <v>6.0920794582084872</v>
      </c>
      <c r="L6">
        <f t="shared" si="0"/>
        <v>68.199999999999989</v>
      </c>
      <c r="M6">
        <f t="shared" si="1"/>
        <v>18.200000000000006</v>
      </c>
      <c r="N6">
        <f t="shared" si="2"/>
        <v>18.200000000000006</v>
      </c>
      <c r="O6">
        <f t="shared" si="4"/>
        <v>28.200000000000003</v>
      </c>
      <c r="P6">
        <f t="shared" si="3"/>
        <v>54.6</v>
      </c>
      <c r="Q6">
        <f>VLOOKUP(A6,CAD!$A$3:$J$23, 10, FALSE)</f>
        <v>13.600000000000001</v>
      </c>
      <c r="S6">
        <f t="shared" si="5"/>
        <v>33.200000000000003</v>
      </c>
      <c r="U6" cm="1">
        <f t="array" ref="U6">_xlfn.PERCENTRANK.EXC(_xlfn._xlws.FILTER(S$3:S$23, ISNUMBER(S$3:S$23)),S6)*100</f>
        <v>18.099999999999998</v>
      </c>
    </row>
    <row r="7" spans="1:21" x14ac:dyDescent="0.35">
      <c r="A7" t="s">
        <v>23</v>
      </c>
      <c r="B7" t="s">
        <v>477</v>
      </c>
      <c r="C7" t="str" cm="1">
        <f t="array" ref="C7">_xll.FDSB(B7,"FG_COMPANY_NAME")</f>
        <v>Polish Zloty per U.S. Dollar</v>
      </c>
      <c r="D7" cm="1">
        <f t="array" ref="D7">_xll.FDSB(B7,"FG_PRICE(0)")</f>
        <v>3.9359999999999999</v>
      </c>
      <c r="E7" cm="1">
        <f t="array" ref="E7">_xll.FDSB(B7,"FG_PRICE_CHANGE(0,-1AY)")</f>
        <v>-0.83768370000000003</v>
      </c>
      <c r="F7" cm="1">
        <f t="array" ref="F7">_xll.FDSB(B7,"FG_PRICE_CHANGE(0,-1AM)")</f>
        <v>-2.2123933</v>
      </c>
      <c r="G7" cm="1">
        <f t="array" ref="G7">_xll.FDSB(B7,"FG_PRICE_CHANGE(0,-3AM)")</f>
        <v>-2.6296914</v>
      </c>
      <c r="H7" cm="1">
        <f t="array" ref="H7">_xll.FDSB(B7,"FG_PRICE_CHANGE(0,-6AM)")</f>
        <v>-1.7535031000000001</v>
      </c>
      <c r="I7" cm="1">
        <f t="array" ref="I7">_xll.FDS(B7,"STD(FG_PRICE_CHANGE(0,-1AY,AM))")</f>
        <v>3.1285860705657802</v>
      </c>
      <c r="J7" cm="1">
        <f t="array" ref="J7">_xll.FDS(B7,"STD(FG_PRICE_CHANGE(0,-3AY,M))")*SQRT(12)</f>
        <v>11.252009184114174</v>
      </c>
      <c r="L7">
        <f t="shared" si="0"/>
        <v>91</v>
      </c>
      <c r="M7">
        <f t="shared" si="1"/>
        <v>91</v>
      </c>
      <c r="N7">
        <f t="shared" si="2"/>
        <v>91</v>
      </c>
      <c r="O7">
        <f t="shared" si="4"/>
        <v>91</v>
      </c>
      <c r="P7">
        <f t="shared" si="3"/>
        <v>22.799999999999997</v>
      </c>
      <c r="Q7">
        <f>VLOOKUP(A7,CAD!$A$3:$J$23, 10, FALSE)</f>
        <v>54.500000000000007</v>
      </c>
      <c r="S7">
        <f t="shared" si="5"/>
        <v>63.239999999999995</v>
      </c>
      <c r="U7" cm="1">
        <f t="array" ref="U7">_xlfn.PERCENTRANK.EXC(_xlfn._xlws.FILTER(S$3:S$23, ISNUMBER(S$3:S$23)),S7)*100</f>
        <v>77.2</v>
      </c>
    </row>
    <row r="8" spans="1:21" x14ac:dyDescent="0.35">
      <c r="A8" t="s">
        <v>29</v>
      </c>
      <c r="B8" t="s">
        <v>481</v>
      </c>
      <c r="C8" t="str" cm="1">
        <f t="array" ref="C8">_xll.FDSB(B8,"FG_COMPANY_NAME")</f>
        <v>Peruvian New Sol per U.S. Dollar</v>
      </c>
      <c r="D8" cm="1">
        <f t="array" ref="D8">_xll.FDSB(B8,"FG_PRICE(0)")</f>
        <v>3.7410999999999999</v>
      </c>
      <c r="E8" cm="1">
        <f t="array" ref="E8">_xll.FDSB(B8,"FG_PRICE_CHANGE(0,-1AY)")</f>
        <v>4.6974062999999999</v>
      </c>
      <c r="F8" cm="1">
        <f t="array" ref="F8">_xll.FDSB(B8,"FG_PRICE_CHANGE(0,-1AM)")</f>
        <v>-1.960218</v>
      </c>
      <c r="G8" cm="1">
        <f t="array" ref="G8">_xll.FDSB(B8,"FG_PRICE_CHANGE(0,-3AM)")</f>
        <v>1.0916828999999999</v>
      </c>
      <c r="H8" cm="1">
        <f t="array" ref="H8">_xll.FDSB(B8,"FG_PRICE_CHANGE(0,-6AM)")</f>
        <v>0.10837316499999999</v>
      </c>
      <c r="I8" cm="1">
        <f t="array" ref="I8">_xll.FDS(B8,"STD(FG_PRICE_CHANGE(0,-1AY,AM))")</f>
        <v>2.25793918540914</v>
      </c>
      <c r="J8" cm="1">
        <f t="array" ref="J8">_xll.FDS(B8,"STD(FG_PRICE_CHANGE(0,-3AY,M))")*SQRT(12)</f>
        <v>8.304137155563188</v>
      </c>
      <c r="L8">
        <f t="shared" si="0"/>
        <v>86.4</v>
      </c>
      <c r="M8">
        <f t="shared" si="1"/>
        <v>22.799999999999997</v>
      </c>
      <c r="N8">
        <f t="shared" si="2"/>
        <v>63.7</v>
      </c>
      <c r="O8">
        <f t="shared" si="4"/>
        <v>51.88</v>
      </c>
      <c r="P8">
        <f t="shared" si="3"/>
        <v>41</v>
      </c>
      <c r="Q8">
        <f>VLOOKUP(A8,CAD!$A$3:$J$23, 10, FALSE)</f>
        <v>40.9</v>
      </c>
      <c r="S8">
        <f t="shared" si="5"/>
        <v>46.42</v>
      </c>
      <c r="U8" cm="1">
        <f t="array" ref="U8">_xlfn.PERCENTRANK.EXC(_xlfn._xlws.FILTER(S$3:S$23, ISNUMBER(S$3:S$23)),S8)*100</f>
        <v>31.8</v>
      </c>
    </row>
    <row r="9" spans="1:21" x14ac:dyDescent="0.35">
      <c r="A9" t="s">
        <v>33</v>
      </c>
      <c r="B9" t="s">
        <v>474</v>
      </c>
      <c r="C9" t="str" cm="1">
        <f t="array" ref="C9">_xll.FDSB(B9,"FG_COMPANY_NAME")</f>
        <v>Malaysian Ringgit per U.S. Dollar</v>
      </c>
      <c r="D9" cm="1">
        <f t="array" ref="D9">_xll.FDSB(B9,"FG_PRICE(0)")</f>
        <v>4.6875</v>
      </c>
      <c r="E9" cm="1">
        <f t="array" ref="E9">_xll.FDSB(B9,"FG_PRICE_CHANGE(0,-1AY)")</f>
        <v>3.1920790000000001</v>
      </c>
      <c r="F9" cm="1">
        <f t="array" ref="F9">_xll.FDSB(B9,"FG_PRICE_CHANGE(0,-1AM)")</f>
        <v>-0.40369630000000001</v>
      </c>
      <c r="G9" cm="1">
        <f t="array" ref="G9">_xll.FDSB(B9,"FG_PRICE_CHANGE(0,-3AM)")</f>
        <v>-2.0069002999999999</v>
      </c>
      <c r="H9" cm="1">
        <f t="array" ref="H9">_xll.FDSB(B9,"FG_PRICE_CHANGE(0,-6AM)")</f>
        <v>-0.63593390000000005</v>
      </c>
      <c r="I9" cm="1">
        <f t="array" ref="I9">_xll.FDS(B9,"STD(FG_PRICE_CHANGE(0,-1AY,AM))")</f>
        <v>1.4335088004704599</v>
      </c>
      <c r="J9" cm="1">
        <f t="array" ref="J9">_xll.FDS(B9,"STD(FG_PRICE_CHANGE(0,-3AY,M))")*SQRT(12)</f>
        <v>7.6235042524058594</v>
      </c>
      <c r="L9">
        <f t="shared" si="0"/>
        <v>59.099999999999994</v>
      </c>
      <c r="M9">
        <f t="shared" si="1"/>
        <v>81.899999999999991</v>
      </c>
      <c r="N9">
        <f t="shared" si="2"/>
        <v>86.4</v>
      </c>
      <c r="O9">
        <f t="shared" si="4"/>
        <v>79.14</v>
      </c>
      <c r="P9">
        <f t="shared" si="3"/>
        <v>45.499999999999993</v>
      </c>
      <c r="Q9">
        <f>VLOOKUP(A9,CAD!$A$3:$J$23, 10, FALSE)</f>
        <v>77.2</v>
      </c>
      <c r="S9">
        <f t="shared" si="5"/>
        <v>68.66</v>
      </c>
      <c r="U9" cm="1">
        <f t="array" ref="U9">_xlfn.PERCENTRANK.EXC(_xlfn._xlws.FILTER(S$3:S$23, ISNUMBER(S$3:S$23)),S9)*100</f>
        <v>81.8</v>
      </c>
    </row>
    <row r="10" spans="1:21" x14ac:dyDescent="0.35">
      <c r="A10" t="s">
        <v>24</v>
      </c>
      <c r="B10" t="s">
        <v>475</v>
      </c>
      <c r="C10" t="str" cm="1">
        <f t="array" ref="C10">_xll.FDSB(B10,"FG_COMPANY_NAME")</f>
        <v>Taiwan Dollar per U.S. Dollar</v>
      </c>
      <c r="D10" cm="1">
        <f t="array" ref="D10">_xll.FDSB(B10,"FG_PRICE(0)")</f>
        <v>32.718499999999999</v>
      </c>
      <c r="E10" cm="1">
        <f t="array" ref="E10">_xll.FDSB(B10,"FG_PRICE_CHANGE(0,-1AY)")</f>
        <v>5.2820324999999997</v>
      </c>
      <c r="F10" cm="1">
        <f t="array" ref="F10">_xll.FDSB(B10,"FG_PRICE_CHANGE(0,-1AM)")</f>
        <v>1.1437892999999999</v>
      </c>
      <c r="G10" cm="1">
        <f t="array" ref="G10">_xll.FDSB(B10,"FG_PRICE_CHANGE(0,-3AM)")</f>
        <v>0.60729979999999995</v>
      </c>
      <c r="H10" cm="1">
        <f t="array" ref="H10">_xll.FDSB(B10,"FG_PRICE_CHANGE(0,-6AM)")</f>
        <v>4.0615079999999999</v>
      </c>
      <c r="I10" cm="1">
        <f t="array" ref="I10">_xll.FDS(B10,"STD(FG_PRICE_CHANGE(0,-1AY,AM))")</f>
        <v>1.3443293861627299</v>
      </c>
      <c r="J10" cm="1">
        <f t="array" ref="J10">_xll.FDS(B10,"STD(FG_PRICE_CHANGE(0,-3AY,M))")*SQRT(12)</f>
        <v>5.8394504181653195</v>
      </c>
      <c r="L10">
        <f t="shared" si="0"/>
        <v>22.799999999999997</v>
      </c>
      <c r="M10">
        <f t="shared" si="1"/>
        <v>27.3</v>
      </c>
      <c r="N10">
        <f t="shared" si="2"/>
        <v>22.799999999999997</v>
      </c>
      <c r="O10">
        <f t="shared" si="4"/>
        <v>24.6</v>
      </c>
      <c r="P10">
        <f t="shared" si="3"/>
        <v>68.2</v>
      </c>
      <c r="Q10">
        <f>VLOOKUP(A10,CAD!$A$3:$J$23, 10, FALSE)</f>
        <v>95.399999999999991</v>
      </c>
      <c r="S10">
        <f t="shared" si="5"/>
        <v>51.84</v>
      </c>
      <c r="U10" cm="1">
        <f t="array" ref="U10">_xlfn.PERCENTRANK.EXC(_xlfn._xlws.FILTER(S$3:S$23, ISNUMBER(S$3:S$23)),S10)*100</f>
        <v>40.9</v>
      </c>
    </row>
    <row r="11" spans="1:21" x14ac:dyDescent="0.35">
      <c r="A11" t="s">
        <v>7</v>
      </c>
      <c r="B11" t="s">
        <v>478</v>
      </c>
      <c r="C11" t="str" cm="1">
        <f t="array" ref="C11">_xll.FDSB(B11,"FG_COMPANY_NAME")</f>
        <v>Mexican Peso per U.S. Dollar</v>
      </c>
      <c r="D11" cm="1">
        <f t="array" ref="D11">_xll.FDSB(B11,"FG_PRICE(0)")</f>
        <v>17.914999999999999</v>
      </c>
      <c r="E11" cm="1">
        <f t="array" ref="E11">_xll.FDSB(B11,"FG_PRICE_CHANGE(0,-1AY)")</f>
        <v>6.8467855000000002</v>
      </c>
      <c r="F11" cm="1">
        <f t="array" ref="F11">_xll.FDSB(B11,"FG_PRICE_CHANGE(0,-1AM)")</f>
        <v>-2.6649593999999999</v>
      </c>
      <c r="G11" cm="1">
        <f t="array" ref="G11">_xll.FDSB(B11,"FG_PRICE_CHANGE(0,-3AM)")</f>
        <v>3.7738680000000002</v>
      </c>
      <c r="H11" cm="1">
        <f t="array" ref="H11">_xll.FDSB(B11,"FG_PRICE_CHANGE(0,-6AM)")</f>
        <v>4.6131489999999999</v>
      </c>
      <c r="I11" cm="1">
        <f t="array" ref="I11">_xll.FDS(B11,"STD(FG_PRICE_CHANGE(0,-1AY,AM))")</f>
        <v>4.5161006155065904</v>
      </c>
      <c r="J11" cm="1">
        <f t="array" ref="J11">_xll.FDS(B11,"STD(FG_PRICE_CHANGE(0,-3AY,M))")*SQRT(12)</f>
        <v>9.193080893873308</v>
      </c>
      <c r="L11">
        <f t="shared" si="0"/>
        <v>95.5</v>
      </c>
      <c r="M11">
        <f t="shared" si="1"/>
        <v>9.0999999999999979</v>
      </c>
      <c r="N11">
        <f t="shared" si="2"/>
        <v>13.700000000000001</v>
      </c>
      <c r="O11">
        <f t="shared" si="4"/>
        <v>28.220000000000002</v>
      </c>
      <c r="P11">
        <f t="shared" si="3"/>
        <v>36.4</v>
      </c>
      <c r="Q11">
        <f>VLOOKUP(A11,CAD!$A$3:$J$23, 10, FALSE)</f>
        <v>45.4</v>
      </c>
      <c r="S11">
        <f t="shared" si="5"/>
        <v>34.11</v>
      </c>
      <c r="U11" cm="1">
        <f t="array" ref="U11">_xlfn.PERCENTRANK.EXC(_xlfn._xlws.FILTER(S$3:S$23, ISNUMBER(S$3:S$23)),S11)*100</f>
        <v>22.7</v>
      </c>
    </row>
    <row r="12" spans="1:21" x14ac:dyDescent="0.35">
      <c r="A12" t="s">
        <v>21</v>
      </c>
      <c r="B12" t="s">
        <v>391</v>
      </c>
      <c r="C12" t="str" cm="1">
        <f t="array" ref="C12">_xll.FDSB(B12,"FG_COMPANY_NAME")</f>
        <v>South Korean Won per U.S. Dollar</v>
      </c>
      <c r="D12" cm="1">
        <f t="array" ref="D12">_xll.FDSB(B12,"FG_PRICE(0)")</f>
        <v>1386.8</v>
      </c>
      <c r="E12" cm="1">
        <f t="array" ref="E12">_xll.FDSB(B12,"FG_PRICE_CHANGE(0,-1AY)")</f>
        <v>9.5808140000000002</v>
      </c>
      <c r="F12" cm="1">
        <f t="array" ref="F12">_xll.FDSB(B12,"FG_PRICE_CHANGE(0,-1AM)")</f>
        <v>0.35822391999999997</v>
      </c>
      <c r="G12" cm="1">
        <f t="array" ref="G12">_xll.FDSB(B12,"FG_PRICE_CHANGE(0,-3AM)")</f>
        <v>0.32192470000000001</v>
      </c>
      <c r="H12" cm="1">
        <f t="array" ref="H12">_xll.FDSB(B12,"FG_PRICE_CHANGE(0,-6AM)")</f>
        <v>3.5698295</v>
      </c>
      <c r="I12" cm="1">
        <f t="array" ref="I12">_xll.FDS(B12,"STD(FG_PRICE_CHANGE(0,-1AY,AM))")</f>
        <v>2.5666528393154802</v>
      </c>
      <c r="J12" cm="1">
        <f t="array" ref="J12">_xll.FDS(B12,"STD(FG_PRICE_CHANGE(0,-3AY,M))")*SQRT(12)</f>
        <v>10.427786058314632</v>
      </c>
      <c r="L12">
        <f t="shared" si="0"/>
        <v>27.3</v>
      </c>
      <c r="M12">
        <f t="shared" si="1"/>
        <v>41</v>
      </c>
      <c r="N12">
        <f t="shared" si="2"/>
        <v>31.899999999999995</v>
      </c>
      <c r="O12">
        <f t="shared" si="4"/>
        <v>34.620000000000005</v>
      </c>
      <c r="P12">
        <f t="shared" si="3"/>
        <v>27.299999999999997</v>
      </c>
      <c r="Q12">
        <f>VLOOKUP(A12,CAD!$A$3:$J$23, 10, FALSE)</f>
        <v>81.8</v>
      </c>
      <c r="S12">
        <f t="shared" si="5"/>
        <v>41.86</v>
      </c>
      <c r="U12" cm="1">
        <f t="array" ref="U12">_xlfn.PERCENTRANK.EXC(_xlfn._xlws.FILTER(S$3:S$23, ISNUMBER(S$3:S$23)),S12)*100</f>
        <v>27.200000000000003</v>
      </c>
    </row>
    <row r="13" spans="1:21" x14ac:dyDescent="0.35">
      <c r="A13" t="s">
        <v>12</v>
      </c>
      <c r="B13" t="s">
        <v>470</v>
      </c>
      <c r="C13" t="str" cm="1">
        <f t="array" ref="C13">_xll.FDSB(B13,"FG_COMPANY_NAME")</f>
        <v>Brazilian Real per U.S. Dollar</v>
      </c>
      <c r="D13" cm="1">
        <f t="array" ref="D13">_xll.FDSB(B13,"FG_PRICE(0)")</f>
        <v>5.5507999999999997</v>
      </c>
      <c r="E13" cm="1">
        <f t="array" ref="E13">_xll.FDSB(B13,"FG_PRICE_CHANGE(0,-1AY)")</f>
        <v>15.771902000000001</v>
      </c>
      <c r="F13" cm="1">
        <f t="array" ref="F13">_xll.FDSB(B13,"FG_PRICE_CHANGE(0,-1AM)")</f>
        <v>1.5699863000000001</v>
      </c>
      <c r="G13" cm="1">
        <f t="array" ref="G13">_xll.FDSB(B13,"FG_PRICE_CHANGE(0,-3AM)")</f>
        <v>6.4513683000000004</v>
      </c>
      <c r="H13" cm="1">
        <f t="array" ref="H13">_xll.FDSB(B13,"FG_PRICE_CHANGE(0,-6AM)")</f>
        <v>12.629986000000001</v>
      </c>
      <c r="I13" cm="1">
        <f t="array" ref="I13">_xll.FDS(B13,"STD(FG_PRICE_CHANGE(0,-1AY,AM))")</f>
        <v>2.8562250673014198</v>
      </c>
      <c r="J13" cm="1">
        <f t="array" ref="J13">_xll.FDS(B13,"STD(FG_PRICE_CHANGE(0,-3AY,M))")*SQRT(12)</f>
        <v>12.669244707112599</v>
      </c>
      <c r="L13">
        <f t="shared" si="0"/>
        <v>13.700000000000001</v>
      </c>
      <c r="M13">
        <f t="shared" si="1"/>
        <v>4.6000000000000041</v>
      </c>
      <c r="N13">
        <f t="shared" si="2"/>
        <v>4.6000000000000041</v>
      </c>
      <c r="O13">
        <f t="shared" si="4"/>
        <v>6.4200000000000035</v>
      </c>
      <c r="P13">
        <f t="shared" si="3"/>
        <v>18.200000000000003</v>
      </c>
      <c r="Q13">
        <f>VLOOKUP(A13,CAD!$A$3:$J$23, 10, FALSE)</f>
        <v>27.200000000000003</v>
      </c>
      <c r="S13">
        <f t="shared" si="5"/>
        <v>14.110000000000003</v>
      </c>
      <c r="U13" cm="1">
        <f t="array" ref="U13">_xlfn.PERCENTRANK.EXC(_xlfn._xlws.FILTER(S$3:S$23, ISNUMBER(S$3:S$23)),S13)*100</f>
        <v>9</v>
      </c>
    </row>
    <row r="14" spans="1:21" x14ac:dyDescent="0.35">
      <c r="A14" t="s">
        <v>22</v>
      </c>
      <c r="B14" t="s">
        <v>386</v>
      </c>
      <c r="C14" t="str" cm="1">
        <f t="array" ref="C14">_xll.FDSB(B14,"FG_COMPANY_NAME")</f>
        <v>South African Rand per U.S. Dollar</v>
      </c>
      <c r="D14" cm="1">
        <f t="array" ref="D14">_xll.FDSB(B14,"FG_PRICE(0)")</f>
        <v>18.284400000000002</v>
      </c>
      <c r="E14" cm="1">
        <f t="array" ref="E14">_xll.FDSB(B14,"FG_PRICE_CHANGE(0,-1AY)")</f>
        <v>1.9126415000000001</v>
      </c>
      <c r="F14" cm="1">
        <f t="array" ref="F14">_xll.FDSB(B14,"FG_PRICE_CHANGE(0,-1AM)")</f>
        <v>1.6929984</v>
      </c>
      <c r="G14" cm="1">
        <f t="array" ref="G14">_xll.FDSB(B14,"FG_PRICE_CHANGE(0,-3AM)")</f>
        <v>-4.4265270000000001</v>
      </c>
      <c r="H14" cm="1">
        <f t="array" ref="H14">_xll.FDSB(B14,"FG_PRICE_CHANGE(0,-6AM)")</f>
        <v>-3.9117038000000002</v>
      </c>
      <c r="I14" cm="1">
        <f t="array" ref="I14">_xll.FDS(B14,"STD(FG_PRICE_CHANGE(0,-1AY,AM))")</f>
        <v>2.79503333499032</v>
      </c>
      <c r="J14" cm="1">
        <f t="array" ref="J14">_xll.FDS(B14,"STD(FG_PRICE_CHANGE(0,-3AY,M))")*SQRT(12)</f>
        <v>13.462611293432794</v>
      </c>
      <c r="L14">
        <f t="shared" si="0"/>
        <v>4.6000000000000041</v>
      </c>
      <c r="M14">
        <f t="shared" si="1"/>
        <v>95.5</v>
      </c>
      <c r="N14">
        <f t="shared" si="2"/>
        <v>95.5</v>
      </c>
      <c r="O14">
        <f t="shared" si="4"/>
        <v>77.320000000000007</v>
      </c>
      <c r="P14">
        <f t="shared" si="3"/>
        <v>13.700000000000003</v>
      </c>
      <c r="Q14">
        <f>VLOOKUP(A14,CAD!$A$3:$J$23, 10, FALSE)</f>
        <v>22.7</v>
      </c>
      <c r="S14">
        <f t="shared" si="5"/>
        <v>47.31</v>
      </c>
      <c r="U14" cm="1">
        <f t="array" ref="U14">_xlfn.PERCENTRANK.EXC(_xlfn._xlws.FILTER(S$3:S$23, ISNUMBER(S$3:S$23)),S14)*100</f>
        <v>36.299999999999997</v>
      </c>
    </row>
    <row r="15" spans="1:21" x14ac:dyDescent="0.35">
      <c r="A15" t="s">
        <v>28</v>
      </c>
      <c r="B15" t="s">
        <v>468</v>
      </c>
      <c r="C15" t="str" cm="1">
        <f t="array" ref="C15">_xll.FDSB(B15,"FG_COMPANY_NAME")</f>
        <v>Euro per U.S. Dollar</v>
      </c>
      <c r="D15" cm="1">
        <f t="array" ref="D15">_xll.FDSB(B15,"FG_PRICE(0)")</f>
        <v>0.91827360000000002</v>
      </c>
      <c r="E15" cm="1">
        <f t="array" ref="E15">_xll.FDSB(B15,"FG_PRICE_CHANGE(0,-1AY)")</f>
        <v>2.7639985</v>
      </c>
      <c r="F15" cm="1">
        <f t="array" ref="F15">_xll.FDSB(B15,"FG_PRICE_CHANGE(0,-1AM)")</f>
        <v>-1.2947618999999999</v>
      </c>
      <c r="G15" cm="1">
        <f t="array" ref="G15">_xll.FDSB(B15,"FG_PRICE_CHANGE(0,-3AM)")</f>
        <v>-2.0202040000000001</v>
      </c>
      <c r="H15" cm="1">
        <f t="array" ref="H15">_xll.FDSB(B15,"FG_PRICE_CHANGE(0,-6AM)")</f>
        <v>-6.4283610000000005E-2</v>
      </c>
      <c r="I15" cm="1">
        <f t="array" ref="I15">_xll.FDS(B15,"STD(FG_PRICE_CHANGE(0,-1AY,AM))")</f>
        <v>1.8349332236561799</v>
      </c>
      <c r="J15" cm="1">
        <f t="array" ref="J15">_xll.FDS(B15,"STD(FG_PRICE_CHANGE(0,-3AY,M))")*SQRT(12)</f>
        <v>7.392257074935177</v>
      </c>
      <c r="L15">
        <f t="shared" si="0"/>
        <v>81.899999999999991</v>
      </c>
      <c r="M15">
        <f t="shared" si="1"/>
        <v>86.4</v>
      </c>
      <c r="N15">
        <f t="shared" si="2"/>
        <v>81.899999999999991</v>
      </c>
      <c r="O15">
        <f t="shared" si="4"/>
        <v>83.699999999999989</v>
      </c>
      <c r="P15">
        <f t="shared" si="3"/>
        <v>50</v>
      </c>
      <c r="Q15">
        <f>VLOOKUP(A15,CAD!$A$3:$J$23, 10, FALSE)</f>
        <v>4.5</v>
      </c>
      <c r="S15">
        <f t="shared" si="5"/>
        <v>57.749999999999993</v>
      </c>
      <c r="U15" cm="1">
        <f t="array" ref="U15">_xlfn.PERCENTRANK.EXC(_xlfn._xlws.FILTER(S$3:S$23, ISNUMBER(S$3:S$23)),S15)*100</f>
        <v>68.100000000000009</v>
      </c>
    </row>
    <row r="16" spans="1:21" x14ac:dyDescent="0.35">
      <c r="A16" t="s">
        <v>32</v>
      </c>
      <c r="B16" t="s">
        <v>387</v>
      </c>
      <c r="C16" t="str" cm="1">
        <f t="array" ref="C16">_xll.FDSB(B16,"FG_COMPANY_NAME")</f>
        <v>Indian Rupee per U.S. Dollar</v>
      </c>
      <c r="D16" cm="1">
        <f t="array" ref="D16">_xll.FDSB(B16,"FG_PRICE(0)")</f>
        <v>83.662499999999994</v>
      </c>
      <c r="E16" cm="1">
        <f t="array" ref="E16">_xll.FDSB(B16,"FG_PRICE_CHANGE(0,-1AY)")</f>
        <v>1.9093751999999999</v>
      </c>
      <c r="F16" cm="1">
        <f t="array" ref="F16">_xll.FDSB(B16,"FG_PRICE_CHANGE(0,-1AM)")</f>
        <v>0.24563073999999999</v>
      </c>
      <c r="G16" cm="1">
        <f t="array" ref="G16">_xll.FDSB(B16,"FG_PRICE_CHANGE(0,-3AM)")</f>
        <v>0.22912025</v>
      </c>
      <c r="H16" cm="1">
        <f t="array" ref="H16">_xll.FDSB(B16,"FG_PRICE_CHANGE(0,-6AM)")</f>
        <v>0.71779490000000001</v>
      </c>
      <c r="I16" cm="1">
        <f t="array" ref="I16">_xll.FDS(B16,"STD(FG_PRICE_CHANGE(0,-1AY,AM))")</f>
        <v>0.37206159171645498</v>
      </c>
      <c r="J16" cm="1">
        <f t="array" ref="J16">_xll.FDS(B16,"STD(FG_PRICE_CHANGE(0,-3AY,M))")*SQRT(12)</f>
        <v>3.2968821959182564</v>
      </c>
      <c r="L16">
        <f t="shared" si="0"/>
        <v>31.899999999999995</v>
      </c>
      <c r="M16">
        <f t="shared" si="1"/>
        <v>45.499999999999993</v>
      </c>
      <c r="N16">
        <f t="shared" si="2"/>
        <v>59.099999999999994</v>
      </c>
      <c r="O16">
        <f t="shared" si="4"/>
        <v>48.22</v>
      </c>
      <c r="P16">
        <f t="shared" si="3"/>
        <v>81.900000000000006</v>
      </c>
      <c r="Q16">
        <f>VLOOKUP(A16,CAD!$A$3:$J$23, 10, FALSE)</f>
        <v>31.8</v>
      </c>
      <c r="S16">
        <f t="shared" si="5"/>
        <v>55.04</v>
      </c>
      <c r="U16" cm="1">
        <f t="array" ref="U16">_xlfn.PERCENTRANK.EXC(_xlfn._xlws.FILTER(S$3:S$23, ISNUMBER(S$3:S$23)),S16)*100</f>
        <v>59</v>
      </c>
    </row>
    <row r="17" spans="1:21" x14ac:dyDescent="0.35">
      <c r="A17" t="s">
        <v>26</v>
      </c>
      <c r="B17" t="s">
        <v>473</v>
      </c>
      <c r="C17" t="str" cm="1">
        <f t="array" ref="C17">_xll.FDSB(B17,"FG_COMPANY_NAME")</f>
        <v>Chinese Offshore Renminbi per U.S. Dollar</v>
      </c>
      <c r="D17" cm="1">
        <f t="array" ref="D17">_xll.FDSB(B17,"FG_PRICE(0)")</f>
        <v>7.2834500000000002</v>
      </c>
      <c r="E17" cm="1">
        <f t="array" ref="E17">_xll.FDSB(B17,"FG_PRICE_CHANGE(0,-1AY)")</f>
        <v>0.66131353000000004</v>
      </c>
      <c r="F17" cm="1">
        <f t="array" ref="F17">_xll.FDSB(B17,"FG_PRICE_CHANGE(0,-1AM)")</f>
        <v>4.9448012999999999E-2</v>
      </c>
      <c r="G17" cm="1">
        <f t="array" ref="G17">_xll.FDSB(B17,"FG_PRICE_CHANGE(0,-3AM)")</f>
        <v>0.49533843999999999</v>
      </c>
      <c r="H17" cm="1">
        <f t="array" ref="H17">_xll.FDSB(B17,"FG_PRICE_CHANGE(0,-6AM)")</f>
        <v>1.0628820000000001</v>
      </c>
      <c r="I17" cm="1">
        <f t="array" ref="I17">_xll.FDS(B17,"STD(FG_PRICE_CHANGE(0,-1AY,AM))")</f>
        <v>0.84200039513466096</v>
      </c>
      <c r="J17" cm="1">
        <f t="array" ref="J17">_xll.FDS(B17,"STD(FG_PRICE_CHANGE(0,-3AY,M))")*SQRT(12)</f>
        <v>6.0440926118942615</v>
      </c>
      <c r="L17">
        <f t="shared" si="0"/>
        <v>41</v>
      </c>
      <c r="M17">
        <f t="shared" si="1"/>
        <v>36.4</v>
      </c>
      <c r="N17">
        <f t="shared" si="2"/>
        <v>54.6</v>
      </c>
      <c r="O17">
        <f t="shared" si="4"/>
        <v>44.600000000000009</v>
      </c>
      <c r="P17">
        <f t="shared" si="3"/>
        <v>63.7</v>
      </c>
      <c r="Q17">
        <f>VLOOKUP(A17,CAD!$A$3:$J$23, 10, FALSE)</f>
        <v>59</v>
      </c>
      <c r="S17">
        <f t="shared" si="5"/>
        <v>53.210000000000008</v>
      </c>
      <c r="U17" cm="1">
        <f t="array" ref="U17">_xlfn.PERCENTRANK.EXC(_xlfn._xlws.FILTER(S$3:S$23, ISNUMBER(S$3:S$23)),S17)*100</f>
        <v>45.4</v>
      </c>
    </row>
    <row r="18" spans="1:21" x14ac:dyDescent="0.35">
      <c r="A18" t="s">
        <v>31</v>
      </c>
      <c r="B18" t="s">
        <v>567</v>
      </c>
      <c r="C18" t="str" cm="1">
        <f t="array" ref="C18">_xll.FDSB(B18,"FG_COMPANY_NAME")</f>
        <v>Qatari Rial per U.S. Dollar</v>
      </c>
      <c r="D18" cm="1">
        <f t="array" ref="D18">_xll.FDSB(B18,"FG_PRICE(0)")</f>
        <v>3.641</v>
      </c>
      <c r="E18" cm="1">
        <f t="array" ref="E18">_xll.FDSB(B18,"FG_PRICE_CHANGE(0,-1AY)")</f>
        <v>2.7465819999999998E-2</v>
      </c>
      <c r="F18" cm="1">
        <f t="array" ref="F18">_xll.FDSB(B18,"FG_PRICE_CHANGE(0,-1AM)")</f>
        <v>0</v>
      </c>
      <c r="G18" cm="1">
        <f t="array" ref="G18">_xll.FDSB(B18,"FG_PRICE_CHANGE(0,-3AM)")</f>
        <v>0</v>
      </c>
      <c r="H18" cm="1">
        <f t="array" ref="H18">_xll.FDSB(B18,"FG_PRICE_CHANGE(0,-6AM)")</f>
        <v>0</v>
      </c>
      <c r="I18" cm="1">
        <f t="array" ref="I18">_xll.FDS(B18,"STD(FG_PRICE_CHANGE(0,-1AY,AM))")</f>
        <v>7.6176478717434101E-3</v>
      </c>
      <c r="J18" cm="1">
        <f t="array" ref="J18">_xll.FDS(B18,"STD(FG_PRICE_CHANGE(0,-3AY,M))")*SQRT(12)</f>
        <v>3.4580924200293572E-2</v>
      </c>
      <c r="L18">
        <f t="shared" si="0"/>
        <v>45.499999999999993</v>
      </c>
      <c r="M18">
        <f t="shared" si="1"/>
        <v>54.6</v>
      </c>
      <c r="N18">
        <f t="shared" si="2"/>
        <v>77.3</v>
      </c>
      <c r="O18">
        <f t="shared" si="4"/>
        <v>61.860000000000007</v>
      </c>
      <c r="P18">
        <f t="shared" si="3"/>
        <v>91</v>
      </c>
      <c r="Q18">
        <f>VLOOKUP(A18,CAD!$A$3:$J$23, 10, FALSE)</f>
        <v>90.9</v>
      </c>
      <c r="S18">
        <f t="shared" si="5"/>
        <v>76.410000000000011</v>
      </c>
      <c r="U18" cm="1">
        <f t="array" ref="U18">_xlfn.PERCENTRANK.EXC(_xlfn._xlws.FILTER(S$3:S$23, ISNUMBER(S$3:S$23)),S18)*100</f>
        <v>95.399999999999991</v>
      </c>
    </row>
    <row r="19" spans="1:21" x14ac:dyDescent="0.35">
      <c r="A19" t="s">
        <v>757</v>
      </c>
      <c r="B19" t="s">
        <v>471</v>
      </c>
      <c r="C19" t="str" cm="1">
        <f t="array" ref="C19">_xll.FDSB(B19,"FG_COMPANY_NAME")</f>
        <v>Thailand Baht per U.S. Dollar</v>
      </c>
      <c r="D19" cm="1">
        <f t="array" ref="D19">_xll.FDSB(B19,"FG_PRICE(0)")</f>
        <v>36.28</v>
      </c>
      <c r="E19" cm="1">
        <f t="array" ref="E19">_xll.FDSB(B19,"FG_PRICE_CHANGE(0,-1AY)")</f>
        <v>6.5804840000000002</v>
      </c>
      <c r="F19" cm="1">
        <f t="array" ref="F19">_xll.FDSB(B19,"FG_PRICE_CHANGE(0,-1AM)")</f>
        <v>-1.0905146999999999</v>
      </c>
      <c r="G19" cm="1">
        <f t="array" ref="G19">_xll.FDSB(B19,"FG_PRICE_CHANGE(0,-3AM)")</f>
        <v>-1.5801966000000001</v>
      </c>
      <c r="H19" cm="1">
        <f t="array" ref="H19">_xll.FDSB(B19,"FG_PRICE_CHANGE(0,-6AM)")</f>
        <v>2.1324515000000002</v>
      </c>
      <c r="I19" cm="1">
        <f t="array" ref="I19">_xll.FDS(B19,"STD(FG_PRICE_CHANGE(0,-1AY,AM))")</f>
        <v>2.0870614053987602</v>
      </c>
      <c r="J19" cm="1">
        <f t="array" ref="J19">_xll.FDS(B19,"STD(FG_PRICE_CHANGE(0,-3AY,M))")*SQRT(12)</f>
        <v>10.316843394732878</v>
      </c>
      <c r="L19">
        <f t="shared" si="0"/>
        <v>77.3</v>
      </c>
      <c r="M19">
        <f t="shared" si="1"/>
        <v>72.8</v>
      </c>
      <c r="N19">
        <f t="shared" si="2"/>
        <v>45.499999999999993</v>
      </c>
      <c r="O19">
        <f t="shared" si="4"/>
        <v>62.78</v>
      </c>
      <c r="P19">
        <f t="shared" si="3"/>
        <v>31.899999999999991</v>
      </c>
      <c r="Q19">
        <f>VLOOKUP(A19,CAD!$A$3:$J$23, 10, FALSE)</f>
        <v>72.7</v>
      </c>
      <c r="S19">
        <f t="shared" si="5"/>
        <v>55.499999999999993</v>
      </c>
      <c r="U19" cm="1">
        <f t="array" ref="U19">_xlfn.PERCENTRANK.EXC(_xlfn._xlws.FILTER(S$3:S$23, ISNUMBER(S$3:S$23)),S19)*100</f>
        <v>63.6</v>
      </c>
    </row>
    <row r="20" spans="1:21" x14ac:dyDescent="0.35">
      <c r="A20" t="s">
        <v>25</v>
      </c>
      <c r="B20" t="s">
        <v>476</v>
      </c>
      <c r="C20" t="str" cm="1">
        <f t="array" ref="C20">_xll.FDSB(B20,"FG_COMPANY_NAME")</f>
        <v>Turkish New Lira per U.S. Dollar</v>
      </c>
      <c r="D20" cm="1">
        <f t="array" ref="D20">_xll.FDSB(B20,"FG_PRICE(0)")</f>
        <v>33.057749999999999</v>
      </c>
      <c r="E20" cm="1">
        <f t="array" ref="E20">_xll.FDSB(B20,"FG_PRICE_CHANGE(0,-1AY)")</f>
        <v>22.967838</v>
      </c>
      <c r="F20" cm="1">
        <f t="array" ref="F20">_xll.FDSB(B20,"FG_PRICE_CHANGE(0,-1AM)")</f>
        <v>1.661408</v>
      </c>
      <c r="G20" cm="1">
        <f t="array" ref="G20">_xll.FDSB(B20,"FG_PRICE_CHANGE(0,-3AM)")</f>
        <v>1.4453769000000001</v>
      </c>
      <c r="H20" cm="1">
        <f t="array" ref="H20">_xll.FDSB(B20,"FG_PRICE_CHANGE(0,-6AM)")</f>
        <v>9.4990015000000003</v>
      </c>
      <c r="I20" cm="1">
        <f t="array" ref="I20">_xll.FDS(B20,"STD(FG_PRICE_CHANGE(0,-1AY,AM))")</f>
        <v>3.7202830171218602</v>
      </c>
      <c r="J20" cm="1">
        <f t="array" ref="J20">_xll.FDS(B20,"STD(FG_PRICE_CHANGE(0,-3AY,M))")*SQRT(12)</f>
        <v>26.262868213955649</v>
      </c>
      <c r="L20">
        <f t="shared" si="0"/>
        <v>9.0999999999999979</v>
      </c>
      <c r="M20">
        <f t="shared" si="1"/>
        <v>13.700000000000001</v>
      </c>
      <c r="N20">
        <f t="shared" si="2"/>
        <v>9.0999999999999979</v>
      </c>
      <c r="O20">
        <f t="shared" si="4"/>
        <v>10.94</v>
      </c>
      <c r="P20">
        <f t="shared" si="3"/>
        <v>4.6000000000000085</v>
      </c>
      <c r="Q20">
        <f>VLOOKUP(A20,CAD!$A$3:$J$23, 10, FALSE)</f>
        <v>18.099999999999998</v>
      </c>
      <c r="S20">
        <f t="shared" si="5"/>
        <v>10.470000000000002</v>
      </c>
      <c r="U20" cm="1">
        <f t="array" ref="U20">_xlfn.PERCENTRANK.EXC(_xlfn._xlws.FILTER(S$3:S$23, ISNUMBER(S$3:S$23)),S20)*100</f>
        <v>4.5</v>
      </c>
    </row>
    <row r="21" spans="1:21" x14ac:dyDescent="0.35">
      <c r="A21" t="s">
        <v>34</v>
      </c>
      <c r="B21" t="s">
        <v>565</v>
      </c>
      <c r="C21" t="str" cm="1">
        <f t="array" ref="C21">_xll.FDSB(B21,"FG_COMPANY_NAME")</f>
        <v>UAE Dirham per U.S. Dollar</v>
      </c>
      <c r="D21" cm="1">
        <f t="array" ref="D21">_xll.FDSB(B21,"FG_PRICE(0)")</f>
        <v>3.673</v>
      </c>
      <c r="E21" cm="1">
        <f t="array" ref="E21">_xll.FDSB(B21,"FG_PRICE_CHANGE(0,-1AY)")</f>
        <v>-1.3589858999999999E-3</v>
      </c>
      <c r="F21" cm="1">
        <f t="array" ref="F21">_xll.FDSB(B21,"FG_PRICE_CHANGE(0,-1AM)")</f>
        <v>-1.3589858999999999E-3</v>
      </c>
      <c r="G21" cm="1">
        <f t="array" ref="G21">_xll.FDSB(B21,"FG_PRICE_CHANGE(0,-3AM)")</f>
        <v>8.1777570000000008E-3</v>
      </c>
      <c r="H21" cm="1">
        <f t="array" ref="H21">_xll.FDSB(B21,"FG_PRICE_CHANGE(0,-6AM)")</f>
        <v>1.3589858999999999E-3</v>
      </c>
      <c r="I21" cm="1">
        <f t="array" ref="I21">_xll.FDS(B21,"STD(FG_PRICE_CHANGE(0,-1AY,AM))")</f>
        <v>6.0477641531507201E-3</v>
      </c>
      <c r="J21" cm="1">
        <f t="array" ref="J21">_xll.FDS(B21,"STD(FG_PRICE_CHANGE(0,-3AY,M))")*SQRT(12)</f>
        <v>3.0201589374503259E-2</v>
      </c>
      <c r="L21">
        <f t="shared" si="0"/>
        <v>50</v>
      </c>
      <c r="M21">
        <f t="shared" si="1"/>
        <v>50</v>
      </c>
      <c r="N21">
        <f t="shared" si="2"/>
        <v>72.8</v>
      </c>
      <c r="O21">
        <f t="shared" si="4"/>
        <v>59.120000000000005</v>
      </c>
      <c r="P21">
        <f t="shared" si="3"/>
        <v>95.5</v>
      </c>
      <c r="Q21">
        <f>VLOOKUP(A21,CAD!$A$3:$J$23, 10, FALSE)</f>
        <v>86.3</v>
      </c>
      <c r="S21">
        <f t="shared" si="5"/>
        <v>75.47</v>
      </c>
      <c r="U21" cm="1">
        <f t="array" ref="U21">_xlfn.PERCENTRANK.EXC(_xlfn._xlws.FILTER(S$3:S$23, ISNUMBER(S$3:S$23)),S21)*100</f>
        <v>90.9</v>
      </c>
    </row>
    <row r="22" spans="1:21" x14ac:dyDescent="0.35">
      <c r="A22" t="s">
        <v>37</v>
      </c>
      <c r="B22" t="s">
        <v>472</v>
      </c>
      <c r="C22" t="str" cm="1">
        <f t="array" ref="C22">_xll.FDSB(B22,"FG_COMPANY_NAME")</f>
        <v>Vietnam Dong per U.S. Dollar</v>
      </c>
      <c r="D22" cm="1">
        <f t="array" ref="D22">_xll.FDSB(B22,"FG_PRICE(0)")</f>
        <v>25325</v>
      </c>
      <c r="E22" cm="1">
        <f t="array" ref="E22">_xll.FDSB(B22,"FG_PRICE_CHANGE(0,-1AY)")</f>
        <v>7.1572184999999999</v>
      </c>
      <c r="F22" cm="1">
        <f t="array" ref="F22">_xll.FDSB(B22,"FG_PRICE_CHANGE(0,-1AM)")</f>
        <v>-0.50093529999999997</v>
      </c>
      <c r="G22" cm="1">
        <f t="array" ref="G22">_xll.FDSB(B22,"FG_PRICE_CHANGE(0,-3AM)")</f>
        <v>-0.47160386999999998</v>
      </c>
      <c r="H22" cm="1">
        <f t="array" ref="H22">_xll.FDSB(B22,"FG_PRICE_CHANGE(0,-6AM)")</f>
        <v>3.1568170000000002</v>
      </c>
      <c r="I22" cm="1">
        <f t="array" ref="I22">_xll.FDS(B22,"STD(FG_PRICE_CHANGE(0,-1AY,AM))")</f>
        <v>1.1095559345852799</v>
      </c>
      <c r="J22" cm="1">
        <f t="array" ref="J22">_xll.FDS(B22,"STD(FG_PRICE_CHANGE(0,-3AY,M))")*SQRT(12)</f>
        <v>4.43438615731118</v>
      </c>
      <c r="L22">
        <f t="shared" si="0"/>
        <v>63.7</v>
      </c>
      <c r="M22">
        <f t="shared" si="1"/>
        <v>68.199999999999989</v>
      </c>
      <c r="N22">
        <f t="shared" si="2"/>
        <v>41</v>
      </c>
      <c r="O22">
        <f t="shared" si="4"/>
        <v>56.42</v>
      </c>
      <c r="P22">
        <f t="shared" si="3"/>
        <v>77.3</v>
      </c>
      <c r="Q22">
        <f>VLOOKUP(A22,CAD!$A$3:$J$23, 10, FALSE)</f>
        <v>50</v>
      </c>
      <c r="S22">
        <f t="shared" si="5"/>
        <v>61.4</v>
      </c>
      <c r="U22" cm="1">
        <f t="array" ref="U22">_xlfn.PERCENTRANK.EXC(_xlfn._xlws.FILTER(S$3:S$23, ISNUMBER(S$3:S$23)),S22)*100</f>
        <v>72.7</v>
      </c>
    </row>
    <row r="23" spans="1:21" x14ac:dyDescent="0.35">
      <c r="A23" t="s">
        <v>36</v>
      </c>
      <c r="B23" t="s">
        <v>566</v>
      </c>
      <c r="C23" t="str" cm="1">
        <f t="array" ref="C23">_xll.FDSB(B23,"FG_COMPANY_NAME")</f>
        <v>Saudi Arabian Riyal per U.S. Dollar</v>
      </c>
      <c r="D23" cm="1">
        <f t="array" ref="D23">_xll.FDSB(B23,"FG_PRICE(0)")</f>
        <v>3.7509000000000001</v>
      </c>
      <c r="E23" cm="1">
        <f t="array" ref="E23">_xll.FDSB(B23,"FG_PRICE_CHANGE(0,-1AY)")</f>
        <v>-7.9929830000000004E-3</v>
      </c>
      <c r="F23" cm="1">
        <f t="array" ref="F23">_xll.FDSB(B23,"FG_PRICE_CHANGE(0,-1AM)")</f>
        <v>-1.8656254000000001E-2</v>
      </c>
      <c r="G23" cm="1">
        <f t="array" ref="G23">_xll.FDSB(B23,"FG_PRICE_CHANGE(0,-3AM)")</f>
        <v>-1.0663271E-2</v>
      </c>
      <c r="H23" cm="1">
        <f t="array" ref="H23">_xll.FDSB(B23,"FG_PRICE_CHANGE(0,-6AM)")</f>
        <v>7.9989429999999997E-3</v>
      </c>
      <c r="I23" cm="1">
        <f t="array" ref="I23">_xll.FDS(B23,"STD(FG_PRICE_CHANGE(0,-1AY,AM))")</f>
        <v>1.9371085453480499E-2</v>
      </c>
      <c r="J23" cm="1">
        <f t="array" ref="J23">_xll.FDS(B23,"STD(FG_PRICE_CHANGE(0,-3AY,M))")*SQRT(12)</f>
        <v>0.14986650535755489</v>
      </c>
      <c r="L23">
        <f t="shared" si="0"/>
        <v>54.6</v>
      </c>
      <c r="M23">
        <f t="shared" si="1"/>
        <v>59.099999999999994</v>
      </c>
      <c r="N23">
        <f t="shared" si="2"/>
        <v>68.199999999999989</v>
      </c>
      <c r="O23">
        <f t="shared" si="4"/>
        <v>61.84</v>
      </c>
      <c r="P23">
        <f t="shared" si="3"/>
        <v>86.4</v>
      </c>
      <c r="Q23">
        <f>VLOOKUP(A23,CAD!$A$3:$J$23, 10, FALSE)</f>
        <v>68.100000000000009</v>
      </c>
      <c r="S23">
        <f t="shared" si="5"/>
        <v>70.460000000000008</v>
      </c>
      <c r="U23" cm="1">
        <f t="array" ref="U23">_xlfn.PERCENTRANK.EXC(_xlfn._xlws.FILTER(S$3:S$23, ISNUMBER(S$3:S$23)),S23)*100</f>
        <v>86.3</v>
      </c>
    </row>
    <row r="36" spans="10:10" x14ac:dyDescent="0.35">
      <c r="J36" s="56"/>
    </row>
    <row r="38" spans="10:10" x14ac:dyDescent="0.35">
      <c r="J38" s="70"/>
    </row>
    <row r="40" spans="10:10" x14ac:dyDescent="0.35">
      <c r="J40" s="70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96C35-3D88-4986-8CFC-9E5D44B3DBFD}">
  <dimension ref="A1:J23"/>
  <sheetViews>
    <sheetView workbookViewId="0">
      <selection activeCell="I33" sqref="I33"/>
    </sheetView>
  </sheetViews>
  <sheetFormatPr defaultRowHeight="14.5" x14ac:dyDescent="0.35"/>
  <cols>
    <col min="3" max="3" width="13.81640625" customWidth="1"/>
    <col min="4" max="4" width="11.453125" customWidth="1"/>
    <col min="6" max="6" width="13.453125" bestFit="1" customWidth="1"/>
    <col min="7" max="7" width="22" bestFit="1" customWidth="1"/>
    <col min="8" max="8" width="22.54296875" customWidth="1"/>
    <col min="9" max="9" width="10" customWidth="1"/>
    <col min="10" max="10" width="9.54296875" customWidth="1"/>
  </cols>
  <sheetData>
    <row r="1" spans="1:10" x14ac:dyDescent="0.35">
      <c r="F1" t="s">
        <v>492</v>
      </c>
      <c r="G1" t="s">
        <v>493</v>
      </c>
      <c r="H1" t="s">
        <v>494</v>
      </c>
      <c r="J1" t="s">
        <v>503</v>
      </c>
    </row>
    <row r="2" spans="1:10" x14ac:dyDescent="0.35">
      <c r="C2" t="s">
        <v>495</v>
      </c>
      <c r="D2" t="s">
        <v>152</v>
      </c>
      <c r="E2" t="s">
        <v>496</v>
      </c>
      <c r="F2" t="s">
        <v>497</v>
      </c>
      <c r="G2" t="s">
        <v>490</v>
      </c>
      <c r="H2" t="s">
        <v>491</v>
      </c>
    </row>
    <row r="3" spans="1:10" x14ac:dyDescent="0.35">
      <c r="A3" t="s">
        <v>432</v>
      </c>
      <c r="B3" t="s">
        <v>473</v>
      </c>
      <c r="C3" t="str" cm="1">
        <f t="array" ref="C3">_xll.FDS($E3,"FG_COMPANY_NAME")</f>
        <v>China</v>
      </c>
      <c r="D3" t="s">
        <v>104</v>
      </c>
      <c r="E3" t="s">
        <v>177</v>
      </c>
      <c r="F3" t="str">
        <f>_xlfn.CONCAT($F$1,D3)</f>
        <v>CAGDPY@CN</v>
      </c>
      <c r="G3" cm="1">
        <f t="array" ref="G3">IFERROR(_xll.FDS($F3,"EE_ACTUAL_ANNUAL(MED,0)"),0)</f>
        <v>1.4141058329546301</v>
      </c>
      <c r="H3" cm="1">
        <f t="array" ref="H3">IFERROR(_xll.FDS($F3,"EE_ACTUAL_ANNUAL(MED,+1)"),0)</f>
        <v>1.3</v>
      </c>
      <c r="J3" cm="1">
        <f t="array" ref="J3">_xlfn.PERCENTRANK.EXC(_xlfn._xlws.FILTER(H$3:H$23, ISNUMBER(H$3:H$23)),H3)*100</f>
        <v>59</v>
      </c>
    </row>
    <row r="4" spans="1:10" x14ac:dyDescent="0.35">
      <c r="A4" t="s">
        <v>27</v>
      </c>
      <c r="B4" t="s">
        <v>480</v>
      </c>
      <c r="C4" t="str" cm="1">
        <f t="array" ref="C4">_xll.FDS($E4,"FG_COMPANY_NAME")</f>
        <v>Chile</v>
      </c>
      <c r="D4" t="s">
        <v>107</v>
      </c>
      <c r="E4" t="s">
        <v>294</v>
      </c>
      <c r="F4" t="str">
        <f t="shared" ref="F4:F23" si="0">_xlfn.CONCAT($F$1,D4)</f>
        <v>CAGDPY@CL</v>
      </c>
      <c r="G4" cm="1">
        <f t="array" ref="G4">IFERROR(_xll.FDS($F4,"EE_ACTUAL_ANNUAL(MED,0)"),0)</f>
        <v>-3.68653581083686</v>
      </c>
      <c r="H4" cm="1">
        <f t="array" ref="H4">IFERROR(_xll.FDS($F4,"EE_ACTUAL_ANNUAL(MED,+1)"),0)</f>
        <v>-3.2</v>
      </c>
      <c r="J4" cm="1">
        <f t="array" ref="J4">_xlfn.PERCENTRANK.EXC(_xlfn._xlws.FILTER(H$3:H$23, ISNUMBER(H$3:H$23)),H4)*100</f>
        <v>9</v>
      </c>
    </row>
    <row r="5" spans="1:10" x14ac:dyDescent="0.35">
      <c r="A5" t="s">
        <v>35</v>
      </c>
      <c r="B5" t="s">
        <v>469</v>
      </c>
      <c r="C5" t="str" cm="1">
        <f t="array" ref="C5">_xll.FDS($E5,"FG_COMPANY_NAME")</f>
        <v>Indonesia</v>
      </c>
      <c r="D5" t="s">
        <v>124</v>
      </c>
      <c r="E5" t="s">
        <v>187</v>
      </c>
      <c r="F5" t="str">
        <f t="shared" si="0"/>
        <v>CAGDPY@ID</v>
      </c>
      <c r="G5" cm="1">
        <f t="array" ref="G5">IFERROR(_xll.FDS($F5,"EE_ACTUAL_ANNUAL(MED,0)"),0)</f>
        <v>-0.14000000000000001</v>
      </c>
      <c r="H5" cm="1">
        <f t="array" ref="H5">IFERROR(_xll.FDS($F5,"EE_ACTUAL_ANNUAL(MED,+1)"),0)</f>
        <v>-0.66</v>
      </c>
      <c r="J5" cm="1">
        <f t="array" ref="J5">_xlfn.PERCENTRANK.EXC(_xlfn._xlws.FILTER(H$3:H$23, ISNUMBER(H$3:H$23)),H5)*100</f>
        <v>36.299999999999997</v>
      </c>
    </row>
    <row r="6" spans="1:10" x14ac:dyDescent="0.35">
      <c r="A6" t="s">
        <v>30</v>
      </c>
      <c r="B6" t="s">
        <v>479</v>
      </c>
      <c r="C6" t="str" cm="1">
        <f t="array" ref="C6">_xll.FDS($E6,"FG_COMPANY_NAME")</f>
        <v>Philippines</v>
      </c>
      <c r="D6" t="s">
        <v>117</v>
      </c>
      <c r="E6" t="s">
        <v>205</v>
      </c>
      <c r="F6" t="str">
        <f t="shared" si="0"/>
        <v>CAGDPY@PH</v>
      </c>
      <c r="G6" cm="1">
        <f t="array" ref="G6">IFERROR(_xll.FDS($F6,"EE_ACTUAL_ANNUAL(MED,0)"),0)</f>
        <v>-2.5666377681185502</v>
      </c>
      <c r="H6" cm="1">
        <f t="array" ref="H6">IFERROR(_xll.FDS($F6,"EE_ACTUAL_ANNUAL(MED,+1)"),0)</f>
        <v>-2.4</v>
      </c>
      <c r="J6" cm="1">
        <f t="array" ref="J6">_xlfn.PERCENTRANK.EXC(_xlfn._xlws.FILTER(H$3:H$23, ISNUMBER(H$3:H$23)),H6)*100</f>
        <v>13.600000000000001</v>
      </c>
    </row>
    <row r="7" spans="1:10" x14ac:dyDescent="0.35">
      <c r="A7" t="s">
        <v>23</v>
      </c>
      <c r="B7" t="s">
        <v>477</v>
      </c>
      <c r="C7" t="str" cm="1">
        <f t="array" ref="C7">_xll.FDS($E7,"FG_COMPANY_NAME")</f>
        <v>Poland</v>
      </c>
      <c r="D7" t="s">
        <v>100</v>
      </c>
      <c r="E7" t="s">
        <v>257</v>
      </c>
      <c r="F7" t="str">
        <f t="shared" si="0"/>
        <v>CAGDPY@PL</v>
      </c>
      <c r="G7" cm="1">
        <f t="array" ref="G7">IFERROR(_xll.FDS($F7,"EE_ACTUAL_ANNUAL(MED,0)"),0)</f>
        <v>1.56254742295506</v>
      </c>
      <c r="H7" cm="1">
        <f t="array" ref="H7">IFERROR(_xll.FDS($F7,"EE_ACTUAL_ANNUAL(MED,+1)"),0)</f>
        <v>0.45</v>
      </c>
      <c r="J7" cm="1">
        <f t="array" ref="J7">_xlfn.PERCENTRANK.EXC(_xlfn._xlws.FILTER(H$3:H$23, ISNUMBER(H$3:H$23)),H7)*100</f>
        <v>54.500000000000007</v>
      </c>
    </row>
    <row r="8" spans="1:10" x14ac:dyDescent="0.35">
      <c r="A8" t="s">
        <v>29</v>
      </c>
      <c r="B8" t="s">
        <v>481</v>
      </c>
      <c r="C8" t="str" cm="1">
        <f t="array" ref="C8">_xll.FDS($E8,"FG_COMPANY_NAME")</f>
        <v>Peru</v>
      </c>
      <c r="D8" t="s">
        <v>112</v>
      </c>
      <c r="E8" t="s">
        <v>304</v>
      </c>
      <c r="F8" t="str">
        <f t="shared" si="0"/>
        <v>CAGDPY@PE</v>
      </c>
      <c r="G8" cm="1">
        <f t="array" ref="G8">IFERROR(_xll.FDS($F8,"EE_ACTUAL_ANNUAL(MED,0)"),0)</f>
        <v>0.83017656482038404</v>
      </c>
      <c r="H8" cm="1">
        <f t="array" ref="H8">IFERROR(_xll.FDS($F8,"EE_ACTUAL_ANNUAL(MED,+1)"),0)</f>
        <v>-0.65</v>
      </c>
      <c r="J8" cm="1">
        <f t="array" ref="J8">_xlfn.PERCENTRANK.EXC(_xlfn._xlws.FILTER(H$3:H$23, ISNUMBER(H$3:H$23)),H8)*100</f>
        <v>40.9</v>
      </c>
    </row>
    <row r="9" spans="1:10" x14ac:dyDescent="0.35">
      <c r="A9" t="s">
        <v>33</v>
      </c>
      <c r="B9" t="s">
        <v>474</v>
      </c>
      <c r="C9" t="str" cm="1">
        <f t="array" ref="C9">_xll.FDS($E9,"FG_COMPANY_NAME")</f>
        <v>Malaysia</v>
      </c>
      <c r="D9" t="s">
        <v>122</v>
      </c>
      <c r="E9" t="s">
        <v>194</v>
      </c>
      <c r="F9" t="str">
        <f t="shared" si="0"/>
        <v>CAGDPY@MY</v>
      </c>
      <c r="G9" cm="1">
        <f t="array" ref="G9">IFERROR(_xll.FDS($F9,"EE_ACTUAL_ANNUAL(MED,0)"),0)</f>
        <v>1.5471394075701399</v>
      </c>
      <c r="H9" cm="1">
        <f t="array" ref="H9">IFERROR(_xll.FDS($F9,"EE_ACTUAL_ANNUAL(MED,+1)"),0)</f>
        <v>2.4500000000000002</v>
      </c>
      <c r="J9" cm="1">
        <f t="array" ref="J9">_xlfn.PERCENTRANK.EXC(_xlfn._xlws.FILTER(H$3:H$23, ISNUMBER(H$3:H$23)),H9)*100</f>
        <v>77.2</v>
      </c>
    </row>
    <row r="10" spans="1:10" x14ac:dyDescent="0.35">
      <c r="A10" t="s">
        <v>24</v>
      </c>
      <c r="B10" t="s">
        <v>475</v>
      </c>
      <c r="C10" t="str" cm="1">
        <f t="array" ref="C10">_xll.FDS($E10,"FG_COMPANY_NAME")</f>
        <v>Taiwan, China</v>
      </c>
      <c r="D10" t="s">
        <v>103</v>
      </c>
      <c r="E10" t="s">
        <v>217</v>
      </c>
      <c r="F10" t="str">
        <f t="shared" si="0"/>
        <v>CAGDPY@TW</v>
      </c>
      <c r="G10" cm="1">
        <f t="array" ref="G10">IFERROR(_xll.FDS($F10,"EE_ACTUAL_ANNUAL(MED,0)"),0)</f>
        <v>13.5674535548706</v>
      </c>
      <c r="H10" cm="1">
        <f t="array" ref="H10">IFERROR(_xll.FDS($F10,"EE_ACTUAL_ANNUAL(MED,+1)"),0)</f>
        <v>14.2</v>
      </c>
      <c r="J10" cm="1">
        <f t="array" ref="J10">_xlfn.PERCENTRANK.EXC(_xlfn._xlws.FILTER(H$3:H$23, ISNUMBER(H$3:H$23)),H10)*100</f>
        <v>95.399999999999991</v>
      </c>
    </row>
    <row r="11" spans="1:10" x14ac:dyDescent="0.35">
      <c r="A11" t="s">
        <v>7</v>
      </c>
      <c r="B11" t="s">
        <v>478</v>
      </c>
      <c r="C11" t="str" cm="1">
        <f t="array" ref="C11">_xll.FDS($E11,"FG_COMPANY_NAME")</f>
        <v>Mexico</v>
      </c>
      <c r="D11" t="s">
        <v>121</v>
      </c>
      <c r="E11" t="s">
        <v>301</v>
      </c>
      <c r="F11" t="str">
        <f t="shared" si="0"/>
        <v>CAGDPY@MX</v>
      </c>
      <c r="G11" cm="1">
        <f t="array" ref="G11">IFERROR(_xll.FDS($F11,"EE_ACTUAL_ANNUAL(MED,0)"),0)</f>
        <v>-0.45750000000000002</v>
      </c>
      <c r="H11" cm="1">
        <f t="array" ref="H11">IFERROR(_xll.FDS($F11,"EE_ACTUAL_ANNUAL(MED,+1)"),0)</f>
        <v>-0.5</v>
      </c>
      <c r="J11" cm="1">
        <f t="array" ref="J11">_xlfn.PERCENTRANK.EXC(_xlfn._xlws.FILTER(H$3:H$23, ISNUMBER(H$3:H$23)),H11)*100</f>
        <v>45.4</v>
      </c>
    </row>
    <row r="12" spans="1:10" x14ac:dyDescent="0.35">
      <c r="A12" t="s">
        <v>21</v>
      </c>
      <c r="B12" t="s">
        <v>391</v>
      </c>
      <c r="C12" t="str" cm="1">
        <f t="array" ref="C12">_xll.FDS($E12,"FG_COMPANY_NAME")</f>
        <v>South Korea</v>
      </c>
      <c r="D12" t="s">
        <v>101</v>
      </c>
      <c r="E12" t="s">
        <v>210</v>
      </c>
      <c r="F12" t="str">
        <f t="shared" si="0"/>
        <v>CAGDPY@KR</v>
      </c>
      <c r="G12" cm="1">
        <f t="array" ref="G12">IFERROR(_xll.FDS($F12,"EE_ACTUAL_ANNUAL(MED,0)"),0)</f>
        <v>1.9034422170805301</v>
      </c>
      <c r="H12" cm="1">
        <f t="array" ref="H12">IFERROR(_xll.FDS($F12,"EE_ACTUAL_ANNUAL(MED,+1)"),0)</f>
        <v>3.5</v>
      </c>
      <c r="J12" cm="1">
        <f t="array" ref="J12">_xlfn.PERCENTRANK.EXC(_xlfn._xlws.FILTER(H$3:H$23, ISNUMBER(H$3:H$23)),H12)*100</f>
        <v>81.8</v>
      </c>
    </row>
    <row r="13" spans="1:10" x14ac:dyDescent="0.35">
      <c r="A13" t="s">
        <v>12</v>
      </c>
      <c r="B13" t="s">
        <v>470</v>
      </c>
      <c r="C13" t="str" cm="1">
        <f t="array" ref="C13">_xll.FDS($E13,"FG_COMPANY_NAME")</f>
        <v>Brazil</v>
      </c>
      <c r="D13" t="s">
        <v>127</v>
      </c>
      <c r="E13" t="s">
        <v>291</v>
      </c>
      <c r="F13" t="str">
        <f t="shared" si="0"/>
        <v>CAGDPY@BR</v>
      </c>
      <c r="G13" cm="1">
        <f t="array" ref="G13">IFERROR(_xll.FDS($F13,"EE_ACTUAL_ANNUAL(MED,0)"),0)</f>
        <v>-1.4183507419114201</v>
      </c>
      <c r="H13" cm="1">
        <f t="array" ref="H13">IFERROR(_xll.FDS($F13,"EE_ACTUAL_ANNUAL(MED,+1)"),0)</f>
        <v>-1.5</v>
      </c>
      <c r="J13" cm="1">
        <f t="array" ref="J13">_xlfn.PERCENTRANK.EXC(_xlfn._xlws.FILTER(H$3:H$23, ISNUMBER(H$3:H$23)),H13)*100</f>
        <v>27.200000000000003</v>
      </c>
    </row>
    <row r="14" spans="1:10" x14ac:dyDescent="0.35">
      <c r="A14" t="s">
        <v>22</v>
      </c>
      <c r="B14" t="s">
        <v>386</v>
      </c>
      <c r="C14" t="str" cm="1">
        <f t="array" ref="C14">_xll.FDS($E14,"FG_COMPANY_NAME")</f>
        <v>South Africa</v>
      </c>
      <c r="D14" t="s">
        <v>99</v>
      </c>
      <c r="E14" t="s">
        <v>366</v>
      </c>
      <c r="F14" t="str">
        <f t="shared" si="0"/>
        <v>CAGDPY@ZA</v>
      </c>
      <c r="G14" cm="1">
        <f t="array" ref="G14">IFERROR(_xll.FDS($F14,"EE_ACTUAL_ANNUAL(MED,0)"),0)</f>
        <v>-1.6</v>
      </c>
      <c r="H14" cm="1">
        <f t="array" ref="H14">IFERROR(_xll.FDS($F14,"EE_ACTUAL_ANNUAL(MED,+1)"),0)</f>
        <v>-1.9</v>
      </c>
      <c r="J14" cm="1">
        <f t="array" ref="J14">_xlfn.PERCENTRANK.EXC(_xlfn._xlws.FILTER(H$3:H$23, ISNUMBER(H$3:H$23)),H14)*100</f>
        <v>22.7</v>
      </c>
    </row>
    <row r="15" spans="1:10" x14ac:dyDescent="0.35">
      <c r="A15" t="s">
        <v>28</v>
      </c>
      <c r="B15" t="s">
        <v>468</v>
      </c>
      <c r="C15" t="str" cm="1">
        <f t="array" ref="C15">_xll.FDS($E15,"FG_COMPANY_NAME")</f>
        <v>Greece</v>
      </c>
      <c r="D15" t="s">
        <v>111</v>
      </c>
      <c r="E15" t="s">
        <v>498</v>
      </c>
      <c r="F15" t="str">
        <f t="shared" si="0"/>
        <v>CAGDPY@GR</v>
      </c>
      <c r="G15" cm="1">
        <f t="array" ref="G15">IFERROR(_xll.FDS($F15,"EE_ACTUAL_ANNUAL(MED,0)"),0)</f>
        <v>-6.3489838569454902</v>
      </c>
      <c r="H15" cm="1">
        <f t="array" ref="H15">IFERROR(_xll.FDS($F15,"EE_ACTUAL_ANNUAL(MED,+1)"),0)</f>
        <v>-6.9</v>
      </c>
      <c r="J15" cm="1">
        <f t="array" ref="J15">_xlfn.PERCENTRANK.EXC(_xlfn._xlws.FILTER(H$3:H$23, ISNUMBER(H$3:H$23)),H15)*100</f>
        <v>4.5</v>
      </c>
    </row>
    <row r="16" spans="1:10" x14ac:dyDescent="0.35">
      <c r="A16" t="s">
        <v>32</v>
      </c>
      <c r="B16" t="s">
        <v>387</v>
      </c>
      <c r="C16" t="str" cm="1">
        <f t="array" ref="C16">_xll.FDS($E16,"FG_COMPANY_NAME")</f>
        <v>India</v>
      </c>
      <c r="D16" t="s">
        <v>118</v>
      </c>
      <c r="E16" t="s">
        <v>184</v>
      </c>
      <c r="F16" t="str">
        <f t="shared" si="0"/>
        <v>CAGDPY@IN</v>
      </c>
      <c r="G16" cm="1">
        <f t="array" ref="G16">IFERROR(_xll.FDS($F16,"EE_ACTUAL_ANNUAL(MED,0)"),0)</f>
        <v>-0.651406479275637</v>
      </c>
      <c r="H16" cm="1">
        <f t="array" ref="H16">IFERROR(_xll.FDS($F16,"EE_ACTUAL_ANNUAL(MED,+1)"),0)</f>
        <v>-1.2</v>
      </c>
      <c r="J16" cm="1">
        <f t="array" ref="J16">_xlfn.PERCENTRANK.EXC(_xlfn._xlws.FILTER(H$3:H$23, ISNUMBER(H$3:H$23)),H16)*100</f>
        <v>31.8</v>
      </c>
    </row>
    <row r="17" spans="1:10" x14ac:dyDescent="0.35">
      <c r="A17" t="s">
        <v>26</v>
      </c>
      <c r="B17" t="s">
        <v>473</v>
      </c>
      <c r="C17" t="str" cm="1">
        <f t="array" ref="C17">_xll.FDS($E17,"FG_COMPANY_NAME")</f>
        <v>China</v>
      </c>
      <c r="D17" t="s">
        <v>104</v>
      </c>
      <c r="E17" t="s">
        <v>177</v>
      </c>
      <c r="F17" t="str">
        <f t="shared" si="0"/>
        <v>CAGDPY@CN</v>
      </c>
      <c r="G17" cm="1">
        <f t="array" ref="G17">IFERROR(_xll.FDS($F17,"EE_ACTUAL_ANNUAL(MED,0)"),0)</f>
        <v>1.4141058329546301</v>
      </c>
      <c r="H17" cm="1">
        <f t="array" ref="H17">IFERROR(_xll.FDS($F17,"EE_ACTUAL_ANNUAL(MED,+1)"),0)</f>
        <v>1.3</v>
      </c>
      <c r="J17" cm="1">
        <f t="array" ref="J17">_xlfn.PERCENTRANK.EXC(_xlfn._xlws.FILTER(H$3:H$23, ISNUMBER(H$3:H$23)),H17)*100</f>
        <v>59</v>
      </c>
    </row>
    <row r="18" spans="1:10" x14ac:dyDescent="0.35">
      <c r="A18" t="s">
        <v>31</v>
      </c>
      <c r="B18" t="s">
        <v>567</v>
      </c>
      <c r="C18" t="str" cm="1">
        <f t="array" ref="C18">_xll.FDS($E18,"FG_COMPANY_NAME")</f>
        <v>Qatar</v>
      </c>
      <c r="D18" t="s">
        <v>120</v>
      </c>
      <c r="E18" t="s">
        <v>360</v>
      </c>
      <c r="F18" t="str">
        <f t="shared" si="0"/>
        <v>CAGDPY@QA</v>
      </c>
      <c r="G18" cm="1">
        <f t="array" ref="G18">IFERROR(_xll.FDS($F18,"EE_ACTUAL_ANNUAL(MED,0)"),0)</f>
        <v>16.2</v>
      </c>
      <c r="H18" cm="1">
        <f t="array" ref="H18">IFERROR(_xll.FDS($F18,"EE_ACTUAL_ANNUAL(MED,+1)"),0)</f>
        <v>13.55</v>
      </c>
      <c r="J18" cm="1">
        <f t="array" ref="J18">_xlfn.PERCENTRANK.EXC(_xlfn._xlws.FILTER(H$3:H$23, ISNUMBER(H$3:H$23)),H18)*100</f>
        <v>90.9</v>
      </c>
    </row>
    <row r="19" spans="1:10" x14ac:dyDescent="0.35">
      <c r="A19" t="s">
        <v>757</v>
      </c>
      <c r="B19" t="s">
        <v>471</v>
      </c>
      <c r="C19" t="str" cm="1">
        <f t="array" ref="C19">_xll.FDS($E19,"FG_COMPANY_NAME")</f>
        <v>Thailand</v>
      </c>
      <c r="D19" t="s">
        <v>220</v>
      </c>
      <c r="E19" t="s">
        <v>221</v>
      </c>
      <c r="F19" t="str">
        <f t="shared" si="0"/>
        <v>CAGDPY@TH</v>
      </c>
      <c r="G19" cm="1">
        <f t="array" ref="G19">IFERROR(_xll.FDS($F19,"EE_ACTUAL_ANNUAL(MED,0)"),0)</f>
        <v>1.22282398910213</v>
      </c>
      <c r="H19" cm="1">
        <f t="array" ref="H19">IFERROR(_xll.FDS($F19,"EE_ACTUAL_ANNUAL(MED,+1)"),0)</f>
        <v>2.4</v>
      </c>
      <c r="J19" cm="1">
        <f t="array" ref="J19">_xlfn.PERCENTRANK.EXC(_xlfn._xlws.FILTER(H$3:H$23, ISNUMBER(H$3:H$23)),H19)*100</f>
        <v>72.7</v>
      </c>
    </row>
    <row r="20" spans="1:10" x14ac:dyDescent="0.35">
      <c r="A20" t="s">
        <v>25</v>
      </c>
      <c r="B20" t="s">
        <v>476</v>
      </c>
      <c r="C20" t="str" cm="1">
        <f t="array" ref="C20">_xll.FDS($E20,"FG_COMPANY_NAME")</f>
        <v>Turkey</v>
      </c>
      <c r="D20" t="s">
        <v>105</v>
      </c>
      <c r="E20" t="s">
        <v>279</v>
      </c>
      <c r="F20" t="str">
        <f t="shared" si="0"/>
        <v>CAGDPY@TR</v>
      </c>
      <c r="G20" cm="1">
        <f t="array" ref="G20">IFERROR(_xll.FDS($F20,"EE_ACTUAL_ANNUAL(MED,0)"),0)</f>
        <v>-5.0608249389160198</v>
      </c>
      <c r="H20" cm="1">
        <f t="array" ref="H20">IFERROR(_xll.FDS($F20,"EE_ACTUAL_ANNUAL(MED,+1)"),0)</f>
        <v>-2.2999999999999998</v>
      </c>
      <c r="J20" cm="1">
        <f t="array" ref="J20">_xlfn.PERCENTRANK.EXC(_xlfn._xlws.FILTER(H$3:H$23, ISNUMBER(H$3:H$23)),H20)*100</f>
        <v>18.099999999999998</v>
      </c>
    </row>
    <row r="21" spans="1:10" x14ac:dyDescent="0.35">
      <c r="A21" t="s">
        <v>34</v>
      </c>
      <c r="B21" t="s">
        <v>565</v>
      </c>
      <c r="C21" t="str" cm="1">
        <f t="array" ref="C21">_xll.FDS($E21,"FG_COMPANY_NAME")</f>
        <v>United Arab Emirates</v>
      </c>
      <c r="D21" t="s">
        <v>123</v>
      </c>
      <c r="E21" t="s">
        <v>373</v>
      </c>
      <c r="F21" t="str">
        <f t="shared" si="0"/>
        <v>CAGDPY@AE</v>
      </c>
      <c r="G21" cm="1">
        <f t="array" ref="G21">IFERROR(_xll.FDS($F21,"EE_ACTUAL_ANNUAL(MED,0)"),0)</f>
        <v>12.15</v>
      </c>
      <c r="H21" cm="1">
        <f t="array" ref="H21">IFERROR(_xll.FDS($F21,"EE_ACTUAL_ANNUAL(MED,+1)"),0)</f>
        <v>9.4</v>
      </c>
      <c r="J21" cm="1">
        <f t="array" ref="J21">_xlfn.PERCENTRANK.EXC(_xlfn._xlws.FILTER(H$3:H$23, ISNUMBER(H$3:H$23)),H21)*100</f>
        <v>86.3</v>
      </c>
    </row>
    <row r="22" spans="1:10" x14ac:dyDescent="0.35">
      <c r="A22" t="s">
        <v>37</v>
      </c>
      <c r="B22" t="s">
        <v>472</v>
      </c>
      <c r="C22" t="str" cm="1">
        <f t="array" ref="C22">_xll.FDS($E22,"FG_COMPANY_NAME")</f>
        <v>Vietnam</v>
      </c>
      <c r="D22" t="s">
        <v>126</v>
      </c>
      <c r="E22" t="s">
        <v>224</v>
      </c>
      <c r="F22" t="str">
        <f t="shared" si="0"/>
        <v>CAGDPY@VN</v>
      </c>
      <c r="G22" cm="1">
        <f t="array" ref="G22">IFERROR(_xll.FDS($F22,"EE_ACTUAL_ANNUAL(MED,0)"),0)</f>
        <v>0</v>
      </c>
      <c r="H22" cm="1">
        <f t="array" ref="H22">IFERROR(_xll.FDS($F22,"EE_ACTUAL_ANNUAL(MED,+1)"),0)</f>
        <v>0</v>
      </c>
      <c r="J22" cm="1">
        <f t="array" ref="J22">_xlfn.PERCENTRANK.EXC(_xlfn._xlws.FILTER(H$3:H$23, ISNUMBER(H$3:H$23)),H22)*100</f>
        <v>50</v>
      </c>
    </row>
    <row r="23" spans="1:10" x14ac:dyDescent="0.35">
      <c r="A23" t="s">
        <v>36</v>
      </c>
      <c r="B23" t="s">
        <v>566</v>
      </c>
      <c r="C23" t="str" cm="1">
        <f t="array" ref="C23">_xll.FDS($E23,"FG_COMPANY_NAME")</f>
        <v>Saudi Arabia</v>
      </c>
      <c r="D23" t="s">
        <v>125</v>
      </c>
      <c r="E23" t="s">
        <v>363</v>
      </c>
      <c r="F23" t="str">
        <f t="shared" si="0"/>
        <v>CAGDPY@SA</v>
      </c>
      <c r="G23" cm="1">
        <f t="array" ref="G23">IFERROR(_xll.FDS($F23,"EE_ACTUAL_ANNUAL(MED,0)"),0)</f>
        <v>3.1913644205675902</v>
      </c>
      <c r="H23" cm="1">
        <f t="array" ref="H23">IFERROR(_xll.FDS($F23,"EE_ACTUAL_ANNUAL(MED,+1)"),0)</f>
        <v>2.2999999999999998</v>
      </c>
      <c r="J23" cm="1">
        <f t="array" ref="J23">_xlfn.PERCENTRANK.EXC(_xlfn._xlws.FILTER(H$3:H$23, ISNUMBER(H$3:H$23)),H23)*100</f>
        <v>68.100000000000009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N123"/>
  <sheetViews>
    <sheetView workbookViewId="0">
      <selection activeCell="B17" sqref="B17"/>
    </sheetView>
  </sheetViews>
  <sheetFormatPr defaultRowHeight="14.5" x14ac:dyDescent="0.35"/>
  <cols>
    <col min="1" max="1" width="10.54296875" customWidth="1"/>
    <col min="2" max="2" width="14" customWidth="1"/>
    <col min="3" max="3" width="11.54296875" customWidth="1"/>
    <col min="24" max="24" width="11.1796875" bestFit="1" customWidth="1"/>
    <col min="25" max="25" width="13.54296875" bestFit="1" customWidth="1"/>
    <col min="40" max="40" width="11.453125" customWidth="1"/>
  </cols>
  <sheetData>
    <row r="1" spans="1:40" x14ac:dyDescent="0.35"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104</v>
      </c>
      <c r="I1" t="s">
        <v>105</v>
      </c>
      <c r="J1" t="s">
        <v>104</v>
      </c>
      <c r="K1" t="s">
        <v>106</v>
      </c>
      <c r="L1" t="s">
        <v>107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T1" t="s">
        <v>115</v>
      </c>
      <c r="U1" t="s">
        <v>116</v>
      </c>
      <c r="W1" t="s">
        <v>104</v>
      </c>
      <c r="Y1" t="s">
        <v>117</v>
      </c>
      <c r="AA1" t="s">
        <v>118</v>
      </c>
      <c r="AB1" t="s">
        <v>119</v>
      </c>
      <c r="AC1" t="s">
        <v>119</v>
      </c>
      <c r="AD1" t="s">
        <v>120</v>
      </c>
      <c r="AE1" t="s">
        <v>118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L1" t="s">
        <v>126</v>
      </c>
      <c r="AM1" t="s">
        <v>127</v>
      </c>
    </row>
    <row r="3" spans="1:40" x14ac:dyDescent="0.35">
      <c r="B3" t="s">
        <v>128</v>
      </c>
      <c r="C3" t="s">
        <v>129</v>
      </c>
      <c r="D3" t="s">
        <v>130</v>
      </c>
      <c r="E3" t="s">
        <v>19</v>
      </c>
      <c r="F3" t="s">
        <v>131</v>
      </c>
      <c r="G3" t="s">
        <v>17</v>
      </c>
      <c r="H3" t="s">
        <v>17</v>
      </c>
      <c r="I3" t="s">
        <v>132</v>
      </c>
      <c r="J3" t="s">
        <v>17</v>
      </c>
      <c r="K3" t="s">
        <v>133</v>
      </c>
      <c r="L3" t="s">
        <v>108</v>
      </c>
      <c r="M3" t="s">
        <v>134</v>
      </c>
      <c r="N3" t="s">
        <v>135</v>
      </c>
      <c r="O3" t="s">
        <v>136</v>
      </c>
      <c r="P3" t="s">
        <v>137</v>
      </c>
      <c r="Q3" t="s">
        <v>138</v>
      </c>
      <c r="R3" t="s">
        <v>139</v>
      </c>
      <c r="S3" t="s">
        <v>140</v>
      </c>
      <c r="T3" t="s">
        <v>141</v>
      </c>
      <c r="U3" t="s">
        <v>142</v>
      </c>
      <c r="V3" t="s">
        <v>140</v>
      </c>
      <c r="W3" t="s">
        <v>17</v>
      </c>
      <c r="X3" t="s">
        <v>140</v>
      </c>
      <c r="Y3" t="s">
        <v>143</v>
      </c>
      <c r="Z3" t="s">
        <v>140</v>
      </c>
      <c r="AA3" t="s">
        <v>18</v>
      </c>
      <c r="AB3" t="s">
        <v>14</v>
      </c>
      <c r="AC3" t="s">
        <v>14</v>
      </c>
      <c r="AD3" t="s">
        <v>144</v>
      </c>
      <c r="AE3" t="s">
        <v>18</v>
      </c>
      <c r="AF3" t="s">
        <v>15</v>
      </c>
      <c r="AG3" t="s">
        <v>145</v>
      </c>
      <c r="AH3" t="s">
        <v>146</v>
      </c>
      <c r="AI3" t="s">
        <v>147</v>
      </c>
      <c r="AJ3" t="s">
        <v>148</v>
      </c>
      <c r="AL3" t="s">
        <v>149</v>
      </c>
      <c r="AM3" t="s">
        <v>20</v>
      </c>
      <c r="AN3" t="s">
        <v>140</v>
      </c>
    </row>
    <row r="4" spans="1:40" x14ac:dyDescent="0.35">
      <c r="A4" s="2">
        <f t="array" ref="A4:A13">_xll.FDS(B3,"JULIAN(FG_YIELD(-10AY,0,CY,,""YTM"").dates)")</f>
        <v>42004</v>
      </c>
      <c r="B4" cm="1">
        <f t="array" ref="B4:B13">_xll.FDS(B3,"FG_YIELD(-10AY,0,y,,""YTM"")")</f>
        <v>7.9537000000000004</v>
      </c>
      <c r="C4" cm="1">
        <f t="array" ref="C4:C13">_xll.FDS(C3,"FG_YIELD(-10AY,0,y,,""YTM"")")</f>
        <v>2.5047999999999999</v>
      </c>
      <c r="D4" cm="1">
        <f t="array" ref="D4:D13">_xll.FDS(D3,"FG_YIELD(-10AY,0,y,,""YTM"")")</f>
        <v>2.6272000000000002</v>
      </c>
      <c r="E4" cm="1">
        <f t="array" ref="E4:E13">_xll.FDS(E3,"FG_YIELD(-10AY,0,y,,""YTM"")")</f>
        <v>0.54749999999999999</v>
      </c>
      <c r="F4" cm="1">
        <f t="array" ref="F4:F13">_xll.FDS(F3,"FG_YIELD(-10AY,0,y,,""YTM"")")</f>
        <v>1.6014999999999999</v>
      </c>
      <c r="G4" cm="1">
        <f t="array" ref="G4:G13">_xll.FDS(G3,"FG_YIELD(-10AY,0,y,,""YTM"")")</f>
        <v>3.6533310000000001</v>
      </c>
      <c r="H4" cm="1">
        <f t="array" ref="H4:H13">_xll.FDS(H3,"FG_YIELD(-10AY,0,y,,""YTM"")")</f>
        <v>3.6533310000000001</v>
      </c>
      <c r="I4" cm="1">
        <f t="array" ref="I4:I13">_xll.FDS(I3,"FG_YIELD(-10AY,0,y,,""YTM"")")</f>
        <v>7.979133</v>
      </c>
      <c r="J4" cm="1">
        <f t="array" ref="J4:J13">_xll.FDS(J3,"FG_YIELD(-10AY,0,y,,""YTM"")")</f>
        <v>3.6533310000000001</v>
      </c>
      <c r="K4" cm="1">
        <f t="array" ref="K4:K13">_xll.FDS(K3,"FG_YIELD(-10AY,0,y,,""YTM"")")</f>
        <v>0.83699999999999997</v>
      </c>
      <c r="L4" t="e" cm="1">
        <f t="array" ref="L4:L13">_xll.FDS(L3,"FG_YIELD(-10AY,0,y,,""YTM"")")</f>
        <v>#N/A</v>
      </c>
      <c r="M4" cm="1">
        <f t="array" ref="M4:M13">_xll.FDS(M3,"FG_YIELD(-10AY,0,y,,""YTM"")")</f>
        <v>0.54749999999999999</v>
      </c>
      <c r="N4" cm="1">
        <f t="array" ref="N4:N13">_xll.FDS(N3,"FG_YIELD(-10AY,0,y,,""YTM"")")</f>
        <v>0.314</v>
      </c>
      <c r="O4" cm="1">
        <f t="array" ref="O4:O13">_xll.FDS(O3,"FG_YIELD(-10AY,0,y,,""YTM"")")</f>
        <v>9.61</v>
      </c>
      <c r="P4" cm="1">
        <f t="array" ref="P4:P13">_xll.FDS(P3,"FG_YIELD(-10AY,0,y,,""YTM"")")</f>
        <v>5.681629</v>
      </c>
      <c r="Q4" cm="1">
        <f t="array" ref="Q4:Q13">_xll.FDS(Q3,"FG_YIELD(-10AY,0,y,,""YTM"")")</f>
        <v>2.81</v>
      </c>
      <c r="R4" cm="1">
        <f t="array" ref="R4:R13">_xll.FDS(R3,"FG_YIELD(-10AY,0,y,,""YTM"")")</f>
        <v>0.31380000000000002</v>
      </c>
      <c r="S4" t="e" cm="1">
        <f t="array" ref="S4:S13">_xll.FDS(S3,"FG_YIELD(-10AY,0,y,,""YTM"")")</f>
        <v>#N/A</v>
      </c>
      <c r="T4" cm="1">
        <f t="array" ref="T4:T13">_xll.FDS(T3,"FG_YIELD(-10AY,0,y,,""YTM"")")</f>
        <v>1.8154999999999999</v>
      </c>
      <c r="U4" cm="1">
        <f t="array" ref="U4:U13">_xll.FDS(U3,"FG_YIELD(-10AY,0,y,,""YTM"")")</f>
        <v>1.79</v>
      </c>
      <c r="V4" t="e" cm="1">
        <f t="array" ref="V4:V13">_xll.FDS(V3,"FG_YIELD(-10AY,0,y,,""YTM"")")</f>
        <v>#N/A</v>
      </c>
      <c r="W4" cm="1">
        <f t="array" ref="W4:W13">_xll.FDS(W3,"FG_YIELD(-10AY,0,y,,""YTM"")")</f>
        <v>3.6533310000000001</v>
      </c>
      <c r="X4" t="e" cm="1">
        <f t="array" ref="X4:X13">_xll.FDS(X3,"FG_YIELD(-10AY,0,y,,""YTM"")")</f>
        <v>#N/A</v>
      </c>
      <c r="Y4" cm="1">
        <f t="array" ref="Y4:Y13">_xll.FDS(Y3,"FG_YIELD(-10AY,0,y,,""YTM"")")</f>
        <v>3.8633000000000002</v>
      </c>
      <c r="Z4" t="e" cm="1">
        <f t="array" ref="Z4:Z13">_xll.FDS(Z3,"FG_YIELD(-10AY,0,y,,""YTM"")")</f>
        <v>#N/A</v>
      </c>
      <c r="AA4" cm="1">
        <f t="array" ref="AA4:AA13">_xll.FDS(AA3,"FG_YIELD(-10AY,0,y,,""YTM"")")</f>
        <v>7.86</v>
      </c>
      <c r="AB4" cm="1">
        <f t="array" ref="AB4:AB13">_xll.FDS(AB3,"FG_YIELD(-10AY,0,y,,""YTM"")")</f>
        <v>2.1880999999999999</v>
      </c>
      <c r="AC4" cm="1">
        <f t="array" ref="AC4:AC13">_xll.FDS(AC3,"FG_YIELD(-10AY,0,y,,""YTM"")")</f>
        <v>2.1880999999999999</v>
      </c>
      <c r="AD4" t="e" cm="1">
        <f t="array" ref="AD4:AD13">_xll.FDS(AD3,"FG_YIELD(-10AY,0,y,,""YTM"")")</f>
        <v>#N/A</v>
      </c>
      <c r="AE4" cm="1">
        <f t="array" ref="AE4:AE13">_xll.FDS(AE3,"FG_YIELD(-10AY,0,y,,""YTM"")")</f>
        <v>7.86</v>
      </c>
      <c r="AF4" cm="1">
        <f t="array" ref="AF4:AF13">_xll.FDS(AF3,"FG_YIELD(-10AY,0,y,,""YTM"")")</f>
        <v>5.8236999999999997</v>
      </c>
      <c r="AG4" cm="1">
        <f t="array" ref="AG4:AG13">_xll.FDS(AG3,"FG_YIELD(-10AY,0,y,,""YTM"")")</f>
        <v>4.1319109999999997</v>
      </c>
      <c r="AH4" t="e" cm="1">
        <f t="array" ref="AH4:AH13">_xll.FDS(AH3,"FG_YIELD(-10AY,0,y,,""YTM"")")</f>
        <v>#N/A</v>
      </c>
      <c r="AI4" cm="1">
        <f t="array" ref="AI4:AI13">_xll.FDS(AI3,"FG_YIELD(-10AY,0,y,,""YTM"")")</f>
        <v>7.9220170000000003</v>
      </c>
      <c r="AJ4" t="e" cm="1">
        <f t="array" ref="AJ4:AJ13">_xll.FDS(AJ3,"FG_YIELD(-10AY,0,y,,""YTM"")")</f>
        <v>#N/A</v>
      </c>
      <c r="AK4" t="e" cm="1">
        <f t="array" ref="AK4:AK13">_xll.FDS(AK3,"FG_YIELD(-10AY,0,y,,""YTM"")")</f>
        <v>#N/A</v>
      </c>
      <c r="AL4" cm="1">
        <f t="array" ref="AL4:AL13">_xll.FDS(AL3,"FG_YIELD(-10AY,0,y,,""YTM"")")</f>
        <v>7.3</v>
      </c>
      <c r="AM4" cm="1">
        <f t="array" ref="AM4:AM13">_xll.FDS(AM3,"FG_YIELD(-10AY,0,y,,""YTM"")")</f>
        <v>12.319731000000001</v>
      </c>
      <c r="AN4" t="e" cm="1">
        <f t="array" ref="AN4:AN13">_xll.FDS(AN3,"FG_YIELD(-10AY,0,y,,""YTM"")")</f>
        <v>#N/A</v>
      </c>
    </row>
    <row r="5" spans="1:40" x14ac:dyDescent="0.35">
      <c r="A5" s="2">
        <v>42369</v>
      </c>
      <c r="B5">
        <v>9.7513000000000005</v>
      </c>
      <c r="C5">
        <v>2.9302999999999999</v>
      </c>
      <c r="D5">
        <v>2.0851999999999999</v>
      </c>
      <c r="E5">
        <v>0.63600000000000001</v>
      </c>
      <c r="F5">
        <v>1.0149999999999999</v>
      </c>
      <c r="G5">
        <v>2.9011450000000001</v>
      </c>
      <c r="H5">
        <v>2.9011450000000001</v>
      </c>
      <c r="I5">
        <v>10.679033</v>
      </c>
      <c r="J5">
        <v>2.9011450000000001</v>
      </c>
      <c r="K5">
        <v>0.99890000000000001</v>
      </c>
      <c r="L5" t="e">
        <v>#N/A</v>
      </c>
      <c r="M5">
        <v>0.63600000000000001</v>
      </c>
      <c r="N5" t="e">
        <v>#N/A</v>
      </c>
      <c r="O5">
        <v>8.24</v>
      </c>
      <c r="P5">
        <v>7.4269170000000004</v>
      </c>
      <c r="Q5">
        <v>2.88</v>
      </c>
      <c r="R5">
        <v>0.26040000000000002</v>
      </c>
      <c r="S5" t="e">
        <v>#N/A</v>
      </c>
      <c r="T5">
        <v>2.0247999999999999</v>
      </c>
      <c r="U5">
        <v>1.39</v>
      </c>
      <c r="V5" t="e">
        <v>#N/A</v>
      </c>
      <c r="W5">
        <v>2.9011450000000001</v>
      </c>
      <c r="X5" t="e">
        <v>#N/A</v>
      </c>
      <c r="Y5">
        <v>4.0999999999999996</v>
      </c>
      <c r="Z5" t="e">
        <v>#N/A</v>
      </c>
      <c r="AA5">
        <v>7.89</v>
      </c>
      <c r="AB5">
        <v>2.2961</v>
      </c>
      <c r="AC5">
        <v>2.2961</v>
      </c>
      <c r="AD5" t="e">
        <v>#N/A</v>
      </c>
      <c r="AE5">
        <v>7.89</v>
      </c>
      <c r="AF5">
        <v>6.2537000000000003</v>
      </c>
      <c r="AG5">
        <v>4.3456049999999999</v>
      </c>
      <c r="AH5" t="e">
        <v>#N/A</v>
      </c>
      <c r="AI5">
        <v>8.9423680000000001</v>
      </c>
      <c r="AJ5" t="e">
        <v>#N/A</v>
      </c>
      <c r="AK5" t="e">
        <v>#N/A</v>
      </c>
      <c r="AL5">
        <v>6.2774130000000001</v>
      </c>
      <c r="AM5">
        <v>15.989595</v>
      </c>
      <c r="AN5" t="e">
        <v>#N/A</v>
      </c>
    </row>
    <row r="6" spans="1:40" x14ac:dyDescent="0.35">
      <c r="A6" s="2">
        <v>42734</v>
      </c>
      <c r="B6">
        <v>8.9047000000000001</v>
      </c>
      <c r="C6">
        <v>3.6244999999999998</v>
      </c>
      <c r="D6">
        <v>2.0916000000000001</v>
      </c>
      <c r="E6">
        <v>0.22</v>
      </c>
      <c r="F6">
        <v>1.2037</v>
      </c>
      <c r="G6">
        <v>3.0709110000000002</v>
      </c>
      <c r="H6">
        <v>3.0709110000000002</v>
      </c>
      <c r="I6">
        <v>11.110785999999999</v>
      </c>
      <c r="J6">
        <v>3.0709110000000002</v>
      </c>
      <c r="K6">
        <v>0.68200000000000005</v>
      </c>
      <c r="L6" t="e">
        <v>#N/A</v>
      </c>
      <c r="M6">
        <v>0.2082</v>
      </c>
      <c r="N6">
        <v>-0.12</v>
      </c>
      <c r="O6">
        <v>7.15</v>
      </c>
      <c r="P6">
        <v>6.415413</v>
      </c>
      <c r="Q6">
        <v>2.76</v>
      </c>
      <c r="R6">
        <v>3.15E-2</v>
      </c>
      <c r="S6" t="e">
        <v>#N/A</v>
      </c>
      <c r="T6">
        <v>1.2817000000000001</v>
      </c>
      <c r="U6">
        <v>1.72</v>
      </c>
      <c r="V6" t="e">
        <v>#N/A</v>
      </c>
      <c r="W6">
        <v>3.0709110000000002</v>
      </c>
      <c r="X6" t="e">
        <v>#N/A</v>
      </c>
      <c r="Y6">
        <v>4.6280999999999999</v>
      </c>
      <c r="Z6" t="e">
        <v>#N/A</v>
      </c>
      <c r="AA6">
        <v>6.63</v>
      </c>
      <c r="AB6">
        <v>2.4752000000000001</v>
      </c>
      <c r="AC6">
        <v>2.4752000000000001</v>
      </c>
      <c r="AD6" t="e">
        <v>#N/A</v>
      </c>
      <c r="AE6">
        <v>6.63</v>
      </c>
      <c r="AF6">
        <v>7.5651000000000002</v>
      </c>
      <c r="AG6">
        <v>4.1958970000000004</v>
      </c>
      <c r="AH6" t="e">
        <v>#N/A</v>
      </c>
      <c r="AI6">
        <v>7.8973500000000003</v>
      </c>
      <c r="AJ6">
        <v>3.8912453999999999</v>
      </c>
      <c r="AK6" t="e">
        <v>#N/A</v>
      </c>
      <c r="AL6">
        <v>7.1117578000000004</v>
      </c>
      <c r="AM6">
        <v>11.062725</v>
      </c>
      <c r="AN6" t="e">
        <v>#N/A</v>
      </c>
    </row>
    <row r="7" spans="1:40" x14ac:dyDescent="0.35">
      <c r="A7" s="2">
        <v>43098</v>
      </c>
      <c r="B7">
        <v>8.5838900000000002</v>
      </c>
      <c r="C7">
        <v>3.2919999999999998</v>
      </c>
      <c r="D7">
        <v>2.4796999999999998</v>
      </c>
      <c r="E7">
        <v>0.47</v>
      </c>
      <c r="F7">
        <v>0.94779999999999998</v>
      </c>
      <c r="G7">
        <v>3.93859</v>
      </c>
      <c r="H7">
        <v>3.93859</v>
      </c>
      <c r="I7">
        <v>11.586128</v>
      </c>
      <c r="J7">
        <v>3.93859</v>
      </c>
      <c r="K7">
        <v>0.78500000000000003</v>
      </c>
      <c r="L7" t="e">
        <v>#N/A</v>
      </c>
      <c r="M7">
        <v>0.4294</v>
      </c>
      <c r="N7">
        <v>-0.09</v>
      </c>
      <c r="O7">
        <v>4.1399999999999997</v>
      </c>
      <c r="P7">
        <v>5.1671329999999998</v>
      </c>
      <c r="Q7">
        <v>2.63</v>
      </c>
      <c r="R7">
        <v>4.65E-2</v>
      </c>
      <c r="S7" t="e">
        <v>#N/A</v>
      </c>
      <c r="T7">
        <v>1.2536</v>
      </c>
      <c r="U7">
        <v>2.04</v>
      </c>
      <c r="V7" t="e">
        <v>#N/A</v>
      </c>
      <c r="W7">
        <v>3.93859</v>
      </c>
      <c r="X7" t="e">
        <v>#N/A</v>
      </c>
      <c r="Y7">
        <v>5.6985999999999999</v>
      </c>
      <c r="Z7" t="e">
        <v>#N/A</v>
      </c>
      <c r="AA7">
        <v>7.35</v>
      </c>
      <c r="AB7">
        <v>2.4325000000000001</v>
      </c>
      <c r="AC7">
        <v>2.4325000000000001</v>
      </c>
      <c r="AD7" t="e">
        <v>#N/A</v>
      </c>
      <c r="AE7">
        <v>7.35</v>
      </c>
      <c r="AF7">
        <v>7.6401000000000003</v>
      </c>
      <c r="AG7">
        <v>3.9025439999999998</v>
      </c>
      <c r="AH7" t="e">
        <v>#N/A</v>
      </c>
      <c r="AI7">
        <v>6.4626409999999996</v>
      </c>
      <c r="AJ7">
        <v>3.7299897999999998</v>
      </c>
      <c r="AK7" t="e">
        <v>#N/A</v>
      </c>
      <c r="AL7">
        <v>5.6717234000000003</v>
      </c>
      <c r="AM7">
        <v>9.8875770000000003</v>
      </c>
      <c r="AN7" t="e">
        <v>#N/A</v>
      </c>
    </row>
    <row r="8" spans="1:40" x14ac:dyDescent="0.35">
      <c r="A8" s="2">
        <v>43465</v>
      </c>
      <c r="B8">
        <v>9.3776600000000006</v>
      </c>
      <c r="C8">
        <v>2.8144</v>
      </c>
      <c r="D8">
        <v>1.9803999999999999</v>
      </c>
      <c r="E8">
        <v>0.23899999999999999</v>
      </c>
      <c r="F8">
        <v>0.86480000000000001</v>
      </c>
      <c r="G8">
        <v>3.259862</v>
      </c>
      <c r="H8">
        <v>3.259862</v>
      </c>
      <c r="I8">
        <v>15.896212999999999</v>
      </c>
      <c r="J8">
        <v>3.259862</v>
      </c>
      <c r="K8">
        <v>0.71</v>
      </c>
      <c r="L8" t="e">
        <v>#N/A</v>
      </c>
      <c r="M8">
        <v>0.23899999999999999</v>
      </c>
      <c r="N8">
        <v>-0.17599999999999999</v>
      </c>
      <c r="O8">
        <v>4.37</v>
      </c>
      <c r="P8">
        <v>5.6451140000000004</v>
      </c>
      <c r="Q8">
        <v>2.3149999999999999</v>
      </c>
      <c r="R8">
        <v>-5.1000000000000004E-3</v>
      </c>
      <c r="S8" t="e">
        <v>#N/A</v>
      </c>
      <c r="T8">
        <v>1.3339000000000001</v>
      </c>
      <c r="U8">
        <v>1.96</v>
      </c>
      <c r="V8" t="e">
        <v>#N/A</v>
      </c>
      <c r="W8">
        <v>3.259862</v>
      </c>
      <c r="X8" t="e">
        <v>#N/A</v>
      </c>
      <c r="Y8">
        <v>7.1730304</v>
      </c>
      <c r="Z8" t="e">
        <v>#N/A</v>
      </c>
      <c r="AA8">
        <v>7.35</v>
      </c>
      <c r="AB8">
        <v>2.6836000000000002</v>
      </c>
      <c r="AC8">
        <v>2.6836000000000002</v>
      </c>
      <c r="AD8" t="e">
        <v>#N/A</v>
      </c>
      <c r="AE8">
        <v>7.35</v>
      </c>
      <c r="AF8">
        <v>8.7068999999999992</v>
      </c>
      <c r="AG8">
        <v>4.2356420000000004</v>
      </c>
      <c r="AH8" t="e">
        <v>#N/A</v>
      </c>
      <c r="AI8">
        <v>8.1481829999999995</v>
      </c>
      <c r="AJ8">
        <v>4.5715503999999996</v>
      </c>
      <c r="AK8" t="e">
        <v>#N/A</v>
      </c>
      <c r="AL8">
        <v>4.7380060000000004</v>
      </c>
      <c r="AM8">
        <v>8.9360929999999996</v>
      </c>
      <c r="AN8" t="e">
        <v>#N/A</v>
      </c>
    </row>
    <row r="9" spans="1:40" x14ac:dyDescent="0.35">
      <c r="A9" s="2">
        <v>43830</v>
      </c>
      <c r="B9">
        <v>9.0117720000000006</v>
      </c>
      <c r="C9">
        <v>2.1086</v>
      </c>
      <c r="D9">
        <v>1.6728000000000001</v>
      </c>
      <c r="E9">
        <v>-0.189</v>
      </c>
      <c r="F9">
        <v>0.67200000000000004</v>
      </c>
      <c r="G9">
        <v>3.197311</v>
      </c>
      <c r="H9">
        <v>3.197311</v>
      </c>
      <c r="I9">
        <v>12.034795000000001</v>
      </c>
      <c r="J9">
        <v>3.197311</v>
      </c>
      <c r="K9">
        <v>0.11799999999999999</v>
      </c>
      <c r="L9" t="e">
        <v>#N/A</v>
      </c>
      <c r="M9">
        <v>-0.189</v>
      </c>
      <c r="N9">
        <v>-0.434</v>
      </c>
      <c r="O9">
        <v>1.45</v>
      </c>
      <c r="P9">
        <v>4.2432259999999999</v>
      </c>
      <c r="Q9">
        <v>1.375</v>
      </c>
      <c r="R9">
        <v>-2.0799999999999999E-2</v>
      </c>
      <c r="S9" t="e">
        <v>#N/A</v>
      </c>
      <c r="T9">
        <v>0.82199999999999995</v>
      </c>
      <c r="U9">
        <v>1.7</v>
      </c>
      <c r="V9" t="e">
        <v>#N/A</v>
      </c>
      <c r="W9">
        <v>3.197311</v>
      </c>
      <c r="X9" t="e">
        <v>#N/A</v>
      </c>
      <c r="Y9">
        <v>4.8475820000000001</v>
      </c>
      <c r="Z9" t="e">
        <v>#N/A</v>
      </c>
      <c r="AA9">
        <v>6.55</v>
      </c>
      <c r="AB9">
        <v>1.9185000000000001</v>
      </c>
      <c r="AC9">
        <v>1.9185000000000001</v>
      </c>
      <c r="AD9" t="e">
        <v>#N/A</v>
      </c>
      <c r="AE9">
        <v>6.55</v>
      </c>
      <c r="AF9">
        <v>6.8372999999999999</v>
      </c>
      <c r="AG9">
        <v>3.300551</v>
      </c>
      <c r="AH9" t="e">
        <v>#N/A</v>
      </c>
      <c r="AI9">
        <v>7.2635839999999998</v>
      </c>
      <c r="AJ9">
        <v>2.8775355999999999</v>
      </c>
      <c r="AK9" t="e">
        <v>#N/A</v>
      </c>
      <c r="AL9">
        <v>3.5404545999999999</v>
      </c>
      <c r="AM9">
        <v>6.8836779999999997</v>
      </c>
      <c r="AN9" t="e">
        <v>#N/A</v>
      </c>
    </row>
    <row r="10" spans="1:40" x14ac:dyDescent="0.35">
      <c r="A10" s="2">
        <v>44196</v>
      </c>
      <c r="B10">
        <v>9.1744690000000002</v>
      </c>
      <c r="C10">
        <v>1.2350000000000001</v>
      </c>
      <c r="D10">
        <v>1.7238</v>
      </c>
      <c r="E10">
        <v>-0.57499999999999996</v>
      </c>
      <c r="F10">
        <v>0.315</v>
      </c>
      <c r="G10">
        <v>3.1947999999999999</v>
      </c>
      <c r="H10">
        <v>3.1947999999999999</v>
      </c>
      <c r="I10">
        <v>12.534946</v>
      </c>
      <c r="J10">
        <v>3.1947999999999999</v>
      </c>
      <c r="K10">
        <v>-0.34399999999999997</v>
      </c>
      <c r="L10" t="e">
        <v>#N/A</v>
      </c>
      <c r="M10">
        <v>-0.57499999999999996</v>
      </c>
      <c r="N10">
        <v>-0.49</v>
      </c>
      <c r="O10">
        <v>0.61799999999999999</v>
      </c>
      <c r="P10">
        <v>3.5359829999999999</v>
      </c>
      <c r="Q10">
        <v>0.97199999999999998</v>
      </c>
      <c r="R10">
        <v>2.01E-2</v>
      </c>
      <c r="S10" t="e">
        <v>#N/A</v>
      </c>
      <c r="T10">
        <v>0.19700000000000001</v>
      </c>
      <c r="U10">
        <v>0.67</v>
      </c>
      <c r="V10" t="e">
        <v>#N/A</v>
      </c>
      <c r="W10">
        <v>3.1947999999999999</v>
      </c>
      <c r="X10" t="e">
        <v>#N/A</v>
      </c>
      <c r="Y10">
        <v>3.4208683999999998</v>
      </c>
      <c r="Z10" t="e">
        <v>#N/A</v>
      </c>
      <c r="AA10">
        <v>5.9</v>
      </c>
      <c r="AB10">
        <v>0.91739999999999999</v>
      </c>
      <c r="AC10">
        <v>0.91739999999999999</v>
      </c>
      <c r="AD10" t="e">
        <v>#N/A</v>
      </c>
      <c r="AE10">
        <v>5.9</v>
      </c>
      <c r="AF10">
        <v>5.5519999999999996</v>
      </c>
      <c r="AG10">
        <v>2.8041809999999998</v>
      </c>
      <c r="AH10" t="e">
        <v>#N/A</v>
      </c>
      <c r="AI10">
        <v>5.9022059999999996</v>
      </c>
      <c r="AJ10">
        <v>2.0844027999999999</v>
      </c>
      <c r="AK10" t="e">
        <v>#N/A</v>
      </c>
      <c r="AL10">
        <v>2.4877946</v>
      </c>
      <c r="AM10">
        <v>6.9612189999999998</v>
      </c>
      <c r="AN10" t="e">
        <v>#N/A</v>
      </c>
    </row>
    <row r="11" spans="1:40" x14ac:dyDescent="0.35">
      <c r="A11" s="2">
        <v>44561</v>
      </c>
      <c r="B11">
        <v>9.7918369999999992</v>
      </c>
      <c r="C11">
        <v>3.6215999999999999</v>
      </c>
      <c r="D11">
        <v>2.2416999999999998</v>
      </c>
      <c r="E11">
        <v>-0.18099999999999999</v>
      </c>
      <c r="F11">
        <v>0.74129999999999996</v>
      </c>
      <c r="G11">
        <v>2.7892999999999999</v>
      </c>
      <c r="H11">
        <v>2.7892999999999999</v>
      </c>
      <c r="I11">
        <v>23.870692999999999</v>
      </c>
      <c r="J11">
        <v>2.7892999999999999</v>
      </c>
      <c r="K11">
        <v>0.20100000000000001</v>
      </c>
      <c r="L11" t="e">
        <v>#N/A</v>
      </c>
      <c r="M11">
        <v>-0.18099999999999999</v>
      </c>
      <c r="N11">
        <v>-0.111</v>
      </c>
      <c r="O11">
        <v>1.3149999999999999</v>
      </c>
      <c r="P11">
        <v>5.8899059999999999</v>
      </c>
      <c r="Q11">
        <v>1.671</v>
      </c>
      <c r="R11">
        <v>6.7199999999999996E-2</v>
      </c>
      <c r="S11" t="e">
        <v>#N/A</v>
      </c>
      <c r="T11">
        <v>0.96599999999999997</v>
      </c>
      <c r="U11">
        <v>1.42</v>
      </c>
      <c r="V11" t="e">
        <v>#N/A</v>
      </c>
      <c r="W11">
        <v>2.7892999999999999</v>
      </c>
      <c r="X11" t="e">
        <v>#N/A</v>
      </c>
      <c r="Y11">
        <v>4.7967230000000001</v>
      </c>
      <c r="Z11" t="e">
        <v>#N/A</v>
      </c>
      <c r="AA11">
        <v>6.45</v>
      </c>
      <c r="AB11">
        <v>1.5119</v>
      </c>
      <c r="AC11">
        <v>1.5119</v>
      </c>
      <c r="AD11" t="e">
        <v>#N/A</v>
      </c>
      <c r="AE11">
        <v>6.45</v>
      </c>
      <c r="AF11">
        <v>7.5579999999999998</v>
      </c>
      <c r="AG11">
        <v>3.573893</v>
      </c>
      <c r="AH11" t="e">
        <v>#N/A</v>
      </c>
      <c r="AI11">
        <v>6.4582829999999998</v>
      </c>
      <c r="AJ11">
        <v>2.5113702</v>
      </c>
      <c r="AK11" t="e">
        <v>#N/A</v>
      </c>
      <c r="AL11">
        <v>2.0594030000000001</v>
      </c>
      <c r="AM11">
        <v>10.970291</v>
      </c>
      <c r="AN11" t="e">
        <v>#N/A</v>
      </c>
    </row>
    <row r="12" spans="1:40" x14ac:dyDescent="0.35">
      <c r="A12" s="2">
        <v>44925</v>
      </c>
      <c r="B12">
        <v>10.764476999999999</v>
      </c>
      <c r="C12">
        <v>6.8411</v>
      </c>
      <c r="D12">
        <v>3.6905999999999999</v>
      </c>
      <c r="E12">
        <v>2.5339999999999998</v>
      </c>
      <c r="F12">
        <v>1.2811999999999999</v>
      </c>
      <c r="G12">
        <v>2.855</v>
      </c>
      <c r="H12">
        <v>2.855</v>
      </c>
      <c r="I12">
        <v>7.3238029999999998</v>
      </c>
      <c r="J12">
        <v>2.855</v>
      </c>
      <c r="K12">
        <v>3.07</v>
      </c>
      <c r="L12" t="e">
        <v>#N/A</v>
      </c>
      <c r="M12">
        <v>2.5329999999999999</v>
      </c>
      <c r="N12">
        <v>1.617</v>
      </c>
      <c r="O12">
        <v>4.585</v>
      </c>
      <c r="P12">
        <v>7.923381</v>
      </c>
      <c r="Q12">
        <v>4.0510000000000002</v>
      </c>
      <c r="R12">
        <v>0.4224</v>
      </c>
      <c r="S12" t="e">
        <v>#N/A</v>
      </c>
      <c r="T12">
        <v>3.6619999999999999</v>
      </c>
      <c r="U12">
        <v>3.3</v>
      </c>
      <c r="V12" t="e">
        <v>#N/A</v>
      </c>
      <c r="W12">
        <v>2.855</v>
      </c>
      <c r="X12" t="e">
        <v>#N/A</v>
      </c>
      <c r="Y12">
        <v>6.9293385000000001</v>
      </c>
      <c r="Z12" t="e">
        <v>#N/A</v>
      </c>
      <c r="AA12">
        <v>7.33</v>
      </c>
      <c r="AB12">
        <v>3.8776000000000002</v>
      </c>
      <c r="AC12">
        <v>3.8776000000000002</v>
      </c>
      <c r="AD12" t="e">
        <v>#N/A</v>
      </c>
      <c r="AE12">
        <v>7.33</v>
      </c>
      <c r="AF12">
        <v>9.0222999999999995</v>
      </c>
      <c r="AG12">
        <v>4.1318469999999996</v>
      </c>
      <c r="AH12" t="e">
        <v>#N/A</v>
      </c>
      <c r="AI12">
        <v>6.9365790000000001</v>
      </c>
      <c r="AJ12">
        <v>4.6139729999999997</v>
      </c>
      <c r="AK12" t="e">
        <v>#N/A</v>
      </c>
      <c r="AL12">
        <v>4.6872259999999999</v>
      </c>
      <c r="AM12">
        <v>12.900059000000001</v>
      </c>
      <c r="AN12" t="e">
        <v>#N/A</v>
      </c>
    </row>
    <row r="13" spans="1:40" x14ac:dyDescent="0.35">
      <c r="A13" s="2">
        <v>45289</v>
      </c>
      <c r="B13">
        <v>11.358896</v>
      </c>
      <c r="C13">
        <v>5.1912000000000003</v>
      </c>
      <c r="D13">
        <v>3.1928000000000001</v>
      </c>
      <c r="E13">
        <v>2.004</v>
      </c>
      <c r="F13">
        <v>1.2110000000000001</v>
      </c>
      <c r="G13">
        <v>2.5739999999999998</v>
      </c>
      <c r="H13">
        <v>2.5739999999999998</v>
      </c>
      <c r="I13">
        <v>21.984321999999999</v>
      </c>
      <c r="J13">
        <v>2.5739999999999998</v>
      </c>
      <c r="K13">
        <v>2.5339999999999998</v>
      </c>
      <c r="L13" t="e">
        <v>#N/A</v>
      </c>
      <c r="M13">
        <v>2.004</v>
      </c>
      <c r="N13">
        <v>0.70299999999999996</v>
      </c>
      <c r="O13">
        <v>3.0990000000000002</v>
      </c>
      <c r="P13">
        <v>6.6086999999999998</v>
      </c>
      <c r="Q13">
        <v>3.9550000000000001</v>
      </c>
      <c r="R13">
        <v>0.61270000000000002</v>
      </c>
      <c r="S13" t="e">
        <v>#N/A</v>
      </c>
      <c r="T13">
        <v>3.5339999999999998</v>
      </c>
      <c r="U13">
        <v>3.0987</v>
      </c>
      <c r="V13" t="e">
        <v>#N/A</v>
      </c>
      <c r="W13">
        <v>2.5739999999999998</v>
      </c>
      <c r="X13" t="e">
        <v>#N/A</v>
      </c>
      <c r="Y13">
        <v>6.0028777</v>
      </c>
      <c r="Z13" t="e">
        <v>#N/A</v>
      </c>
      <c r="AA13">
        <v>7.19</v>
      </c>
      <c r="AB13">
        <v>3.8791000000000002</v>
      </c>
      <c r="AC13">
        <v>3.8791000000000002</v>
      </c>
      <c r="AD13" t="e">
        <v>#N/A</v>
      </c>
      <c r="AE13">
        <v>7.19</v>
      </c>
      <c r="AF13">
        <v>8.9499999999999993</v>
      </c>
      <c r="AG13">
        <v>3.7275049999999998</v>
      </c>
      <c r="AH13" t="e">
        <v>#N/A</v>
      </c>
      <c r="AI13">
        <v>6.4985710000000001</v>
      </c>
      <c r="AJ13">
        <v>4.608568</v>
      </c>
      <c r="AK13" t="e">
        <v>#N/A</v>
      </c>
      <c r="AL13">
        <v>2.9473283000000001</v>
      </c>
      <c r="AM13">
        <v>10.455909</v>
      </c>
      <c r="AN13" t="e">
        <v>#N/A</v>
      </c>
    </row>
    <row r="14" spans="1:40" x14ac:dyDescent="0.35">
      <c r="A14" s="2"/>
    </row>
    <row r="15" spans="1:40" x14ac:dyDescent="0.35">
      <c r="A15" s="2"/>
    </row>
    <row r="16" spans="1:40" x14ac:dyDescent="0.35">
      <c r="A16" s="2" t="s">
        <v>91</v>
      </c>
      <c r="B16">
        <f>MIN(_xlfn.ANCHORARRAY(B4))</f>
        <v>7.9537000000000004</v>
      </c>
      <c r="C16">
        <f t="shared" ref="C16:AN16" si="0">MIN(_xlfn.ANCHORARRAY(C4))</f>
        <v>1.2350000000000001</v>
      </c>
      <c r="D16">
        <f t="shared" si="0"/>
        <v>1.6728000000000001</v>
      </c>
      <c r="E16">
        <f t="shared" si="0"/>
        <v>-0.57499999999999996</v>
      </c>
      <c r="F16">
        <f t="shared" si="0"/>
        <v>0.315</v>
      </c>
      <c r="G16">
        <f t="shared" si="0"/>
        <v>2.5739999999999998</v>
      </c>
      <c r="H16">
        <f t="shared" si="0"/>
        <v>2.5739999999999998</v>
      </c>
      <c r="I16">
        <f t="shared" si="0"/>
        <v>7.3238029999999998</v>
      </c>
      <c r="J16">
        <f t="shared" si="0"/>
        <v>2.5739999999999998</v>
      </c>
      <c r="K16">
        <f t="shared" si="0"/>
        <v>-0.34399999999999997</v>
      </c>
      <c r="L16" t="e">
        <f t="shared" si="0"/>
        <v>#N/A</v>
      </c>
      <c r="M16">
        <f t="shared" si="0"/>
        <v>-0.57499999999999996</v>
      </c>
      <c r="N16" t="e">
        <f t="shared" si="0"/>
        <v>#N/A</v>
      </c>
      <c r="O16">
        <f t="shared" si="0"/>
        <v>0.61799999999999999</v>
      </c>
      <c r="P16">
        <f t="shared" si="0"/>
        <v>3.5359829999999999</v>
      </c>
      <c r="Q16">
        <f t="shared" si="0"/>
        <v>0.97199999999999998</v>
      </c>
      <c r="R16">
        <f t="shared" si="0"/>
        <v>-2.0799999999999999E-2</v>
      </c>
      <c r="S16" t="e">
        <f t="shared" si="0"/>
        <v>#N/A</v>
      </c>
      <c r="T16">
        <f t="shared" si="0"/>
        <v>0.19700000000000001</v>
      </c>
      <c r="U16">
        <f t="shared" si="0"/>
        <v>0.67</v>
      </c>
      <c r="V16" t="e">
        <f t="shared" si="0"/>
        <v>#N/A</v>
      </c>
      <c r="W16">
        <f t="shared" si="0"/>
        <v>2.5739999999999998</v>
      </c>
      <c r="X16" t="e">
        <f t="shared" si="0"/>
        <v>#N/A</v>
      </c>
      <c r="Y16">
        <f t="shared" si="0"/>
        <v>3.4208683999999998</v>
      </c>
      <c r="Z16" t="e">
        <f t="shared" si="0"/>
        <v>#N/A</v>
      </c>
      <c r="AA16">
        <f t="shared" si="0"/>
        <v>5.9</v>
      </c>
      <c r="AB16">
        <f t="shared" si="0"/>
        <v>0.91739999999999999</v>
      </c>
      <c r="AC16">
        <f t="shared" si="0"/>
        <v>0.91739999999999999</v>
      </c>
      <c r="AD16" t="e">
        <f t="shared" si="0"/>
        <v>#N/A</v>
      </c>
      <c r="AE16">
        <f t="shared" si="0"/>
        <v>5.9</v>
      </c>
      <c r="AF16">
        <f t="shared" si="0"/>
        <v>5.5519999999999996</v>
      </c>
      <c r="AG16">
        <f t="shared" si="0"/>
        <v>2.8041809999999998</v>
      </c>
      <c r="AH16" t="e">
        <f t="shared" si="0"/>
        <v>#N/A</v>
      </c>
      <c r="AI16">
        <f t="shared" si="0"/>
        <v>5.9022059999999996</v>
      </c>
      <c r="AJ16" t="e">
        <f t="shared" si="0"/>
        <v>#N/A</v>
      </c>
      <c r="AK16" t="e">
        <f t="shared" si="0"/>
        <v>#N/A</v>
      </c>
      <c r="AL16">
        <f t="shared" si="0"/>
        <v>2.0594030000000001</v>
      </c>
      <c r="AM16">
        <f t="shared" si="0"/>
        <v>6.8836779999999997</v>
      </c>
      <c r="AN16" t="e">
        <f t="shared" si="0"/>
        <v>#N/A</v>
      </c>
    </row>
    <row r="17" spans="1:40" x14ac:dyDescent="0.35">
      <c r="A17" s="2" t="s">
        <v>397</v>
      </c>
      <c r="B17">
        <f>MEDIAN(_xlfn.ANCHORARRAY(B4))</f>
        <v>9.2760645000000004</v>
      </c>
      <c r="C17">
        <f t="shared" ref="C17:AN17" si="1">MEDIAN(_xlfn.ANCHORARRAY(C4))</f>
        <v>3.1111499999999999</v>
      </c>
      <c r="D17">
        <f t="shared" si="1"/>
        <v>2.1666499999999997</v>
      </c>
      <c r="E17">
        <f t="shared" si="1"/>
        <v>0.35449999999999998</v>
      </c>
      <c r="F17">
        <f t="shared" si="1"/>
        <v>0.98139999999999994</v>
      </c>
      <c r="G17">
        <f t="shared" si="1"/>
        <v>3.1328554999999998</v>
      </c>
      <c r="H17">
        <f t="shared" si="1"/>
        <v>3.1328554999999998</v>
      </c>
      <c r="I17">
        <f t="shared" si="1"/>
        <v>11.810461500000001</v>
      </c>
      <c r="J17">
        <f t="shared" si="1"/>
        <v>3.1328554999999998</v>
      </c>
      <c r="K17">
        <f t="shared" si="1"/>
        <v>0.74750000000000005</v>
      </c>
      <c r="L17" t="e">
        <f t="shared" si="1"/>
        <v>#N/A</v>
      </c>
      <c r="M17">
        <f t="shared" si="1"/>
        <v>0.3342</v>
      </c>
      <c r="N17" t="e">
        <f t="shared" si="1"/>
        <v>#N/A</v>
      </c>
      <c r="O17">
        <f t="shared" si="1"/>
        <v>4.2549999999999999</v>
      </c>
      <c r="P17">
        <f t="shared" si="1"/>
        <v>5.7857675000000004</v>
      </c>
      <c r="Q17">
        <f t="shared" si="1"/>
        <v>2.6949999999999998</v>
      </c>
      <c r="R17">
        <f t="shared" si="1"/>
        <v>5.6849999999999998E-2</v>
      </c>
      <c r="S17" t="e">
        <f t="shared" si="1"/>
        <v>#N/A</v>
      </c>
      <c r="T17">
        <f t="shared" si="1"/>
        <v>1.3078000000000001</v>
      </c>
      <c r="U17">
        <f t="shared" si="1"/>
        <v>1.7549999999999999</v>
      </c>
      <c r="V17" t="e">
        <f t="shared" si="1"/>
        <v>#N/A</v>
      </c>
      <c r="W17">
        <f t="shared" si="1"/>
        <v>3.1328554999999998</v>
      </c>
      <c r="X17" t="e">
        <f t="shared" si="1"/>
        <v>#N/A</v>
      </c>
      <c r="Y17">
        <f t="shared" si="1"/>
        <v>4.8221524999999996</v>
      </c>
      <c r="Z17" t="e">
        <f t="shared" si="1"/>
        <v>#N/A</v>
      </c>
      <c r="AA17">
        <f t="shared" si="1"/>
        <v>7.26</v>
      </c>
      <c r="AB17">
        <f t="shared" si="1"/>
        <v>2.3643000000000001</v>
      </c>
      <c r="AC17">
        <f t="shared" si="1"/>
        <v>2.3643000000000001</v>
      </c>
      <c r="AD17" t="e">
        <f t="shared" si="1"/>
        <v>#N/A</v>
      </c>
      <c r="AE17">
        <f t="shared" si="1"/>
        <v>7.26</v>
      </c>
      <c r="AF17">
        <f t="shared" si="1"/>
        <v>7.5615500000000004</v>
      </c>
      <c r="AG17">
        <f t="shared" si="1"/>
        <v>4.0171954999999997</v>
      </c>
      <c r="AH17" t="e">
        <f t="shared" si="1"/>
        <v>#N/A</v>
      </c>
      <c r="AI17">
        <f t="shared" si="1"/>
        <v>7.1000814999999999</v>
      </c>
      <c r="AJ17" t="e">
        <f t="shared" si="1"/>
        <v>#N/A</v>
      </c>
      <c r="AK17" t="e">
        <f t="shared" si="1"/>
        <v>#N/A</v>
      </c>
      <c r="AL17">
        <f t="shared" si="1"/>
        <v>4.7126160000000006</v>
      </c>
      <c r="AM17">
        <f t="shared" si="1"/>
        <v>10.713100000000001</v>
      </c>
      <c r="AN17" t="e">
        <f t="shared" si="1"/>
        <v>#N/A</v>
      </c>
    </row>
    <row r="18" spans="1:40" x14ac:dyDescent="0.35">
      <c r="A18" s="2" t="s">
        <v>507</v>
      </c>
      <c r="B18">
        <f>B13</f>
        <v>11.358896</v>
      </c>
      <c r="C18">
        <f t="shared" ref="C18:AN18" si="2">C13</f>
        <v>5.1912000000000003</v>
      </c>
      <c r="D18">
        <f t="shared" si="2"/>
        <v>3.1928000000000001</v>
      </c>
      <c r="E18">
        <f t="shared" si="2"/>
        <v>2.004</v>
      </c>
      <c r="F18">
        <f t="shared" si="2"/>
        <v>1.2110000000000001</v>
      </c>
      <c r="G18">
        <f t="shared" si="2"/>
        <v>2.5739999999999998</v>
      </c>
      <c r="H18">
        <f t="shared" si="2"/>
        <v>2.5739999999999998</v>
      </c>
      <c r="I18">
        <f t="shared" si="2"/>
        <v>21.984321999999999</v>
      </c>
      <c r="J18">
        <f t="shared" si="2"/>
        <v>2.5739999999999998</v>
      </c>
      <c r="K18">
        <f t="shared" si="2"/>
        <v>2.5339999999999998</v>
      </c>
      <c r="L18" t="e">
        <f t="shared" si="2"/>
        <v>#N/A</v>
      </c>
      <c r="M18">
        <f t="shared" si="2"/>
        <v>2.004</v>
      </c>
      <c r="N18">
        <f t="shared" si="2"/>
        <v>0.70299999999999996</v>
      </c>
      <c r="O18">
        <f t="shared" si="2"/>
        <v>3.0990000000000002</v>
      </c>
      <c r="P18">
        <f t="shared" si="2"/>
        <v>6.6086999999999998</v>
      </c>
      <c r="Q18">
        <f t="shared" si="2"/>
        <v>3.9550000000000001</v>
      </c>
      <c r="R18">
        <f t="shared" si="2"/>
        <v>0.61270000000000002</v>
      </c>
      <c r="S18" t="e">
        <f t="shared" si="2"/>
        <v>#N/A</v>
      </c>
      <c r="T18">
        <f t="shared" si="2"/>
        <v>3.5339999999999998</v>
      </c>
      <c r="U18">
        <f t="shared" si="2"/>
        <v>3.0987</v>
      </c>
      <c r="V18" t="e">
        <f t="shared" si="2"/>
        <v>#N/A</v>
      </c>
      <c r="W18">
        <f t="shared" si="2"/>
        <v>2.5739999999999998</v>
      </c>
      <c r="X18" t="e">
        <f t="shared" si="2"/>
        <v>#N/A</v>
      </c>
      <c r="Y18">
        <f t="shared" si="2"/>
        <v>6.0028777</v>
      </c>
      <c r="Z18" t="e">
        <f t="shared" si="2"/>
        <v>#N/A</v>
      </c>
      <c r="AA18">
        <f t="shared" si="2"/>
        <v>7.19</v>
      </c>
      <c r="AB18">
        <f t="shared" si="2"/>
        <v>3.8791000000000002</v>
      </c>
      <c r="AC18">
        <f t="shared" si="2"/>
        <v>3.8791000000000002</v>
      </c>
      <c r="AD18" t="e">
        <f t="shared" si="2"/>
        <v>#N/A</v>
      </c>
      <c r="AE18">
        <f t="shared" si="2"/>
        <v>7.19</v>
      </c>
      <c r="AF18">
        <f t="shared" si="2"/>
        <v>8.9499999999999993</v>
      </c>
      <c r="AG18">
        <f t="shared" si="2"/>
        <v>3.7275049999999998</v>
      </c>
      <c r="AH18" t="e">
        <f t="shared" si="2"/>
        <v>#N/A</v>
      </c>
      <c r="AI18">
        <f t="shared" si="2"/>
        <v>6.4985710000000001</v>
      </c>
      <c r="AJ18">
        <f t="shared" si="2"/>
        <v>4.608568</v>
      </c>
      <c r="AK18" t="e">
        <f t="shared" si="2"/>
        <v>#N/A</v>
      </c>
      <c r="AL18">
        <f t="shared" si="2"/>
        <v>2.9473283000000001</v>
      </c>
      <c r="AM18">
        <f t="shared" si="2"/>
        <v>10.455909</v>
      </c>
      <c r="AN18" t="e">
        <f t="shared" si="2"/>
        <v>#N/A</v>
      </c>
    </row>
    <row r="19" spans="1:40" x14ac:dyDescent="0.35">
      <c r="A19" s="2"/>
    </row>
    <row r="20" spans="1:40" x14ac:dyDescent="0.35">
      <c r="A20" s="2"/>
    </row>
    <row r="21" spans="1:40" x14ac:dyDescent="0.35">
      <c r="A21" s="2"/>
    </row>
    <row r="22" spans="1:40" x14ac:dyDescent="0.35">
      <c r="A22" s="2"/>
    </row>
    <row r="23" spans="1:40" x14ac:dyDescent="0.35">
      <c r="A23" s="2"/>
    </row>
    <row r="24" spans="1:40" x14ac:dyDescent="0.35">
      <c r="A24" s="2"/>
    </row>
    <row r="25" spans="1:40" x14ac:dyDescent="0.35">
      <c r="A25" s="2"/>
    </row>
    <row r="26" spans="1:40" x14ac:dyDescent="0.35">
      <c r="A26" s="2"/>
    </row>
    <row r="27" spans="1:40" x14ac:dyDescent="0.35">
      <c r="A27" s="2"/>
    </row>
    <row r="28" spans="1:40" x14ac:dyDescent="0.35">
      <c r="A28" s="2"/>
    </row>
    <row r="29" spans="1:40" x14ac:dyDescent="0.35">
      <c r="A29" s="2"/>
    </row>
    <row r="30" spans="1:40" x14ac:dyDescent="0.35">
      <c r="A30" s="2"/>
    </row>
    <row r="31" spans="1:40" x14ac:dyDescent="0.35">
      <c r="A31" s="2"/>
    </row>
    <row r="32" spans="1:40" x14ac:dyDescent="0.35">
      <c r="A32" s="2"/>
    </row>
    <row r="33" spans="1:1" x14ac:dyDescent="0.35">
      <c r="A33" s="2"/>
    </row>
    <row r="34" spans="1:1" x14ac:dyDescent="0.35">
      <c r="A34" s="2"/>
    </row>
    <row r="35" spans="1:1" x14ac:dyDescent="0.35">
      <c r="A35" s="2"/>
    </row>
    <row r="36" spans="1:1" x14ac:dyDescent="0.35">
      <c r="A36" s="2"/>
    </row>
    <row r="37" spans="1:1" x14ac:dyDescent="0.35">
      <c r="A37" s="2"/>
    </row>
    <row r="38" spans="1:1" x14ac:dyDescent="0.35">
      <c r="A38" s="2"/>
    </row>
    <row r="39" spans="1:1" x14ac:dyDescent="0.35">
      <c r="A39" s="2"/>
    </row>
    <row r="40" spans="1:1" x14ac:dyDescent="0.35">
      <c r="A40" s="2"/>
    </row>
    <row r="41" spans="1:1" x14ac:dyDescent="0.35">
      <c r="A41" s="2"/>
    </row>
    <row r="42" spans="1:1" x14ac:dyDescent="0.35">
      <c r="A42" s="2"/>
    </row>
    <row r="43" spans="1:1" x14ac:dyDescent="0.35">
      <c r="A43" s="2"/>
    </row>
    <row r="44" spans="1:1" x14ac:dyDescent="0.35">
      <c r="A44" s="2"/>
    </row>
    <row r="45" spans="1:1" x14ac:dyDescent="0.35">
      <c r="A45" s="2"/>
    </row>
    <row r="46" spans="1:1" x14ac:dyDescent="0.35">
      <c r="A46" s="2"/>
    </row>
    <row r="47" spans="1:1" x14ac:dyDescent="0.35">
      <c r="A47" s="2"/>
    </row>
    <row r="48" spans="1:1" x14ac:dyDescent="0.35">
      <c r="A48" s="2"/>
    </row>
    <row r="49" spans="1:1" x14ac:dyDescent="0.35">
      <c r="A49" s="2"/>
    </row>
    <row r="50" spans="1:1" x14ac:dyDescent="0.35">
      <c r="A50" s="2"/>
    </row>
    <row r="51" spans="1:1" x14ac:dyDescent="0.35">
      <c r="A51" s="2"/>
    </row>
    <row r="52" spans="1:1" x14ac:dyDescent="0.35">
      <c r="A52" s="2"/>
    </row>
    <row r="53" spans="1:1" x14ac:dyDescent="0.35">
      <c r="A53" s="2"/>
    </row>
    <row r="54" spans="1:1" x14ac:dyDescent="0.35">
      <c r="A54" s="2"/>
    </row>
    <row r="55" spans="1:1" x14ac:dyDescent="0.35">
      <c r="A55" s="2"/>
    </row>
    <row r="56" spans="1:1" x14ac:dyDescent="0.35">
      <c r="A56" s="2"/>
    </row>
    <row r="57" spans="1:1" x14ac:dyDescent="0.35">
      <c r="A57" s="2"/>
    </row>
    <row r="58" spans="1:1" x14ac:dyDescent="0.35">
      <c r="A58" s="2"/>
    </row>
    <row r="59" spans="1:1" x14ac:dyDescent="0.35">
      <c r="A59" s="2"/>
    </row>
    <row r="60" spans="1:1" x14ac:dyDescent="0.35">
      <c r="A60" s="2"/>
    </row>
    <row r="61" spans="1:1" x14ac:dyDescent="0.35">
      <c r="A61" s="2"/>
    </row>
    <row r="62" spans="1:1" x14ac:dyDescent="0.35">
      <c r="A62" s="2"/>
    </row>
    <row r="63" spans="1:1" x14ac:dyDescent="0.35">
      <c r="A63" s="2"/>
    </row>
    <row r="64" spans="1:1" x14ac:dyDescent="0.35">
      <c r="A64" s="2"/>
    </row>
    <row r="65" spans="1:1" x14ac:dyDescent="0.35">
      <c r="A65" s="2"/>
    </row>
    <row r="66" spans="1:1" x14ac:dyDescent="0.35">
      <c r="A66" s="2"/>
    </row>
    <row r="67" spans="1:1" x14ac:dyDescent="0.35">
      <c r="A67" s="2"/>
    </row>
    <row r="68" spans="1:1" x14ac:dyDescent="0.35">
      <c r="A68" s="2"/>
    </row>
    <row r="69" spans="1:1" x14ac:dyDescent="0.35">
      <c r="A69" s="2"/>
    </row>
    <row r="70" spans="1:1" x14ac:dyDescent="0.35">
      <c r="A70" s="2"/>
    </row>
    <row r="71" spans="1:1" x14ac:dyDescent="0.35">
      <c r="A71" s="2"/>
    </row>
    <row r="72" spans="1:1" x14ac:dyDescent="0.35">
      <c r="A72" s="2"/>
    </row>
    <row r="73" spans="1:1" x14ac:dyDescent="0.35">
      <c r="A73" s="2"/>
    </row>
    <row r="74" spans="1:1" x14ac:dyDescent="0.35">
      <c r="A74" s="2"/>
    </row>
    <row r="75" spans="1:1" x14ac:dyDescent="0.35">
      <c r="A75" s="2"/>
    </row>
    <row r="76" spans="1:1" x14ac:dyDescent="0.35">
      <c r="A76" s="2"/>
    </row>
    <row r="77" spans="1:1" x14ac:dyDescent="0.35">
      <c r="A77" s="2"/>
    </row>
    <row r="78" spans="1:1" x14ac:dyDescent="0.35">
      <c r="A78" s="2"/>
    </row>
    <row r="79" spans="1:1" x14ac:dyDescent="0.35">
      <c r="A79" s="2"/>
    </row>
    <row r="80" spans="1:1" x14ac:dyDescent="0.35">
      <c r="A80" s="2"/>
    </row>
    <row r="81" spans="1:1" x14ac:dyDescent="0.35">
      <c r="A81" s="2"/>
    </row>
    <row r="82" spans="1:1" x14ac:dyDescent="0.35">
      <c r="A82" s="2"/>
    </row>
    <row r="83" spans="1:1" x14ac:dyDescent="0.35">
      <c r="A83" s="2"/>
    </row>
    <row r="84" spans="1:1" x14ac:dyDescent="0.35">
      <c r="A84" s="2"/>
    </row>
    <row r="85" spans="1:1" x14ac:dyDescent="0.35">
      <c r="A85" s="2"/>
    </row>
    <row r="86" spans="1:1" x14ac:dyDescent="0.35">
      <c r="A86" s="2"/>
    </row>
    <row r="87" spans="1:1" x14ac:dyDescent="0.35">
      <c r="A87" s="2"/>
    </row>
    <row r="88" spans="1:1" x14ac:dyDescent="0.35">
      <c r="A88" s="2"/>
    </row>
    <row r="89" spans="1:1" x14ac:dyDescent="0.35">
      <c r="A89" s="2"/>
    </row>
    <row r="90" spans="1:1" x14ac:dyDescent="0.35">
      <c r="A90" s="2"/>
    </row>
    <row r="91" spans="1:1" x14ac:dyDescent="0.35">
      <c r="A91" s="2"/>
    </row>
    <row r="92" spans="1:1" x14ac:dyDescent="0.35">
      <c r="A92" s="2"/>
    </row>
    <row r="93" spans="1:1" x14ac:dyDescent="0.35">
      <c r="A93" s="2"/>
    </row>
    <row r="94" spans="1:1" x14ac:dyDescent="0.35">
      <c r="A94" s="2"/>
    </row>
    <row r="95" spans="1:1" x14ac:dyDescent="0.35">
      <c r="A95" s="2"/>
    </row>
    <row r="96" spans="1:1" x14ac:dyDescent="0.35">
      <c r="A96" s="2"/>
    </row>
    <row r="97" spans="1:1" x14ac:dyDescent="0.35">
      <c r="A97" s="2"/>
    </row>
    <row r="98" spans="1:1" x14ac:dyDescent="0.35">
      <c r="A98" s="2"/>
    </row>
    <row r="99" spans="1:1" x14ac:dyDescent="0.35">
      <c r="A99" s="2"/>
    </row>
    <row r="100" spans="1:1" x14ac:dyDescent="0.35">
      <c r="A100" s="2"/>
    </row>
    <row r="101" spans="1:1" x14ac:dyDescent="0.35">
      <c r="A101" s="2"/>
    </row>
    <row r="102" spans="1:1" x14ac:dyDescent="0.35">
      <c r="A102" s="2"/>
    </row>
    <row r="103" spans="1:1" x14ac:dyDescent="0.35">
      <c r="A103" s="2"/>
    </row>
    <row r="104" spans="1:1" x14ac:dyDescent="0.35">
      <c r="A104" s="2"/>
    </row>
    <row r="105" spans="1:1" x14ac:dyDescent="0.35">
      <c r="A105" s="2"/>
    </row>
    <row r="106" spans="1:1" x14ac:dyDescent="0.35">
      <c r="A106" s="2"/>
    </row>
    <row r="107" spans="1:1" x14ac:dyDescent="0.35">
      <c r="A107" s="2"/>
    </row>
    <row r="108" spans="1:1" x14ac:dyDescent="0.35">
      <c r="A108" s="2"/>
    </row>
    <row r="109" spans="1:1" x14ac:dyDescent="0.35">
      <c r="A109" s="2"/>
    </row>
    <row r="110" spans="1:1" x14ac:dyDescent="0.35">
      <c r="A110" s="2"/>
    </row>
    <row r="111" spans="1:1" x14ac:dyDescent="0.35">
      <c r="A111" s="2"/>
    </row>
    <row r="112" spans="1:1" x14ac:dyDescent="0.35">
      <c r="A112" s="2"/>
    </row>
    <row r="113" spans="1:1" x14ac:dyDescent="0.35">
      <c r="A113" s="2"/>
    </row>
    <row r="114" spans="1:1" x14ac:dyDescent="0.35">
      <c r="A114" s="2"/>
    </row>
    <row r="115" spans="1:1" x14ac:dyDescent="0.35">
      <c r="A115" s="2"/>
    </row>
    <row r="116" spans="1:1" x14ac:dyDescent="0.35">
      <c r="A116" s="2"/>
    </row>
    <row r="117" spans="1:1" x14ac:dyDescent="0.35">
      <c r="A117" s="2"/>
    </row>
    <row r="118" spans="1:1" x14ac:dyDescent="0.35">
      <c r="A118" s="2"/>
    </row>
    <row r="119" spans="1:1" x14ac:dyDescent="0.35">
      <c r="A119" s="2"/>
    </row>
    <row r="120" spans="1:1" x14ac:dyDescent="0.35">
      <c r="A120" s="2"/>
    </row>
    <row r="121" spans="1:1" x14ac:dyDescent="0.35">
      <c r="A121" s="2"/>
    </row>
    <row r="122" spans="1:1" x14ac:dyDescent="0.35">
      <c r="A122" s="2"/>
    </row>
    <row r="123" spans="1:1" x14ac:dyDescent="0.35">
      <c r="A123" s="2"/>
    </row>
  </sheetData>
  <pageMargins left="0.7" right="0.7" top="0.75" bottom="0.75" header="0.3" footer="0.3"/>
  <pageSetup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D20E4-97B2-4EB7-897A-3D28BEFA8748}">
  <dimension ref="A1:AC25"/>
  <sheetViews>
    <sheetView topLeftCell="J1" workbookViewId="0">
      <selection activeCell="W1" sqref="W1:AE1048576"/>
    </sheetView>
  </sheetViews>
  <sheetFormatPr defaultRowHeight="14.5" x14ac:dyDescent="0.35"/>
  <cols>
    <col min="1" max="1" width="10.54296875" customWidth="1"/>
  </cols>
  <sheetData>
    <row r="1" spans="1:22" x14ac:dyDescent="0.35">
      <c r="B1" t="s">
        <v>432</v>
      </c>
      <c r="C1" t="s">
        <v>27</v>
      </c>
      <c r="D1" t="s">
        <v>35</v>
      </c>
      <c r="E1" t="s">
        <v>30</v>
      </c>
      <c r="F1" t="s">
        <v>23</v>
      </c>
      <c r="G1" t="s">
        <v>29</v>
      </c>
      <c r="H1" t="s">
        <v>33</v>
      </c>
      <c r="I1" t="s">
        <v>24</v>
      </c>
      <c r="J1" t="s">
        <v>7</v>
      </c>
      <c r="K1" t="s">
        <v>21</v>
      </c>
      <c r="L1" t="s">
        <v>12</v>
      </c>
      <c r="M1" t="s">
        <v>22</v>
      </c>
      <c r="N1" t="s">
        <v>28</v>
      </c>
      <c r="O1" t="s">
        <v>32</v>
      </c>
      <c r="P1" t="s">
        <v>26</v>
      </c>
      <c r="Q1" t="s">
        <v>31</v>
      </c>
      <c r="R1" t="s">
        <v>757</v>
      </c>
      <c r="S1" t="s">
        <v>25</v>
      </c>
      <c r="T1" t="s">
        <v>34</v>
      </c>
      <c r="U1" t="s">
        <v>37</v>
      </c>
      <c r="V1" t="s">
        <v>36</v>
      </c>
    </row>
    <row r="2" spans="1:22" ht="25.5" customHeight="1" x14ac:dyDescent="0.35">
      <c r="A2" s="2" cm="1">
        <f t="array" ref="A2:A21">_xll.FDS(H1,"JULIAN(FMA_ROE(NTMA,-20AY,NOW,FY,""PORTAGG"",""MEANR"").dates)")</f>
        <v>38352</v>
      </c>
      <c r="B2" t="str" cm="1">
        <f t="array" ref="B2:B21">_xll.FDSB(B1,"FMA_ROE(NTMA,-20AY,NOW,FY,""PORTAGG"",""MEANR"")")</f>
        <v/>
      </c>
      <c r="C2" t="str" cm="1">
        <f t="array" ref="C2:C21">_xll.FDSB(C1,"FMA_ROE(NTMA,-20AY,NOW,FY,""PORTAGG"",""MEANR"")")</f>
        <v/>
      </c>
      <c r="D2" t="str" cm="1">
        <f t="array" ref="D2:D21">_xll.FDSB(D1,"FMA_ROE(NTMA,-20AY,NOW,FY,""PORTAGG"",""MEANR"")")</f>
        <v/>
      </c>
      <c r="E2" t="str" cm="1">
        <f t="array" ref="E2:E21">_xll.FDSB(E1,"FMA_ROE(NTMA,-20AY,NOW,FY,""PORTAGG"",""MEANR"")")</f>
        <v/>
      </c>
      <c r="F2" t="str" cm="1">
        <f t="array" ref="F2:F21">_xll.FDSB(F1,"FMA_ROE(NTMA,-20AY,NOW,FY,""PORTAGG"",""MEANR"")")</f>
        <v/>
      </c>
      <c r="G2" t="str" cm="1">
        <f t="array" ref="G2:G21">_xll.FDSB(G1,"FMA_ROE(NTMA,-20AY,NOW,FY,""PORTAGG"",""MEANR"")")</f>
        <v/>
      </c>
      <c r="H2" cm="1">
        <f t="array" ref="H2:H21">_xll.FDSB(H1,"FMA_ROE(NTMA,-20AY,NOW,FY,""PORTAGG"",""MEANR"")")</f>
        <v>13.376423559145399</v>
      </c>
      <c r="I2" cm="1">
        <f t="array" ref="I2:I21">_xll.FDSB(I1,"FMA_ROE(NTMA,-20AY,NOW,FY,""PORTAGG"",""MEANR"")")</f>
        <v>14.2091388164968</v>
      </c>
      <c r="J2" t="str" cm="1">
        <f t="array" ref="J2:J21">_xll.FDSB(J1,"FMA_ROE(NTMA,-20AY,NOW,FY,""PORTAGG"",""MEANR"")")</f>
        <v/>
      </c>
      <c r="K2" cm="1">
        <f t="array" ref="K2:K21">_xll.FDSB(K1,"FMA_ROE(NTMA,-20AY,NOW,FY,""PORTAGG"",""MEANR"")")</f>
        <v>15.9616854074036</v>
      </c>
      <c r="L2" cm="1">
        <f t="array" ref="L2:L21">_xll.FDSB(L1,"FMA_ROE(NTMA,-20AY,NOW,FY,""PORTAGG"",""MEANR"")")</f>
        <v>10.902459324937</v>
      </c>
      <c r="M2" cm="1">
        <f t="array" ref="M2:M21">_xll.FDSB(M1,"FMA_ROE(NTMA,-20AY,NOW,FY,""PORTAGG"",""MEANR"")")</f>
        <v>17.944307267730601</v>
      </c>
      <c r="N2" t="str" cm="1">
        <f t="array" ref="N2:N21">_xll.FDSB(N1,"FMA_ROE(NTMA,-20AY,NOW,FY,""PORTAGG"",""MEANR"")")</f>
        <v/>
      </c>
      <c r="O2" t="str" cm="1">
        <f t="array" ref="O2:O21">_xll.FDSB(O1,"FMA_ROE(NTMA,-20AY,NOW,FY,""PORTAGG"",""MEANR"")")</f>
        <v/>
      </c>
      <c r="P2" t="str" cm="1">
        <f t="array" ref="P2:P21">_xll.FDSB(P1,"FMA_ROE(NTMA,-20AY,NOW,FY,""PORTAGG"",""MEANR"")")</f>
        <v/>
      </c>
      <c r="Q2" t="str" cm="1">
        <f t="array" ref="Q2:Q21">_xll.FDSB(Q1,"FMA_ROE(NTMA,-20AY,NOW,FY,""PORTAGG"",""MEANR"")")</f>
        <v/>
      </c>
      <c r="R2" cm="1">
        <f t="array" ref="R2:R21">_xll.FDSB(R1,"FMA_ROE(NTMA,-20AY,NOW,FY,""PORTAGG"",""MEANR"")")</f>
        <v>19.477525307428301</v>
      </c>
      <c r="S2" t="str" cm="1">
        <f t="array" ref="S2:S21">_xll.FDSB(S1,"FMA_ROE(NTMA,-20AY,NOW,FY,""PORTAGG"",""MEANR"")")</f>
        <v/>
      </c>
      <c r="T2" t="str" cm="1">
        <f t="array" ref="T2:T21">_xll.FDSB(T1,"FMA_ROE(NTMA,-20AY,NOW,FY,""PORTAGG"",""MEANR"")")</f>
        <v/>
      </c>
      <c r="U2" t="str" cm="1">
        <f t="array" ref="U2:U21">_xll.FDSB(U1,"FMA_ROE(NTMA,-20AY,NOW,FY,""PORTAGG"",""MEANR"")")</f>
        <v/>
      </c>
      <c r="V2" t="str" cm="1">
        <f t="array" ref="V2:V21">_xll.FDSB(V1,"FMA_ROE(NTMA,-20AY,NOW,FY,""PORTAGG"",""MEANR"")")</f>
        <v/>
      </c>
    </row>
    <row r="3" spans="1:22" ht="25.5" customHeight="1" x14ac:dyDescent="0.35">
      <c r="A3" s="2">
        <v>38716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>
        <v>13.259100878288899</v>
      </c>
      <c r="I3">
        <v>14.098545713706599</v>
      </c>
      <c r="J3" s="75" t="str">
        <v/>
      </c>
      <c r="K3" s="75">
        <v>15.4849098528827</v>
      </c>
      <c r="L3">
        <v>15.133006841974501</v>
      </c>
      <c r="M3">
        <v>20.534892815675502</v>
      </c>
      <c r="N3" t="str">
        <v/>
      </c>
      <c r="O3" t="str">
        <v/>
      </c>
      <c r="P3" t="str">
        <v/>
      </c>
      <c r="Q3" t="str">
        <v/>
      </c>
      <c r="R3">
        <v>16.712932607338399</v>
      </c>
      <c r="S3" t="str">
        <v/>
      </c>
      <c r="T3" t="str">
        <v/>
      </c>
      <c r="U3" t="str">
        <v/>
      </c>
      <c r="V3" t="str">
        <v/>
      </c>
    </row>
    <row r="4" spans="1:22" ht="25.5" customHeight="1" x14ac:dyDescent="0.35">
      <c r="A4" s="2">
        <v>39080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>
        <v>13.534364209707901</v>
      </c>
      <c r="I4">
        <v>14.459071034744399</v>
      </c>
      <c r="J4" s="75" t="str">
        <v/>
      </c>
      <c r="K4" s="75">
        <v>13.8927001282369</v>
      </c>
      <c r="L4">
        <v>12.2637569805604</v>
      </c>
      <c r="M4">
        <v>23.396297970604699</v>
      </c>
      <c r="N4" t="str">
        <v/>
      </c>
      <c r="O4" t="str">
        <v/>
      </c>
      <c r="P4" t="str">
        <v/>
      </c>
      <c r="Q4" t="str">
        <v/>
      </c>
      <c r="R4">
        <v>14.8656028990892</v>
      </c>
      <c r="S4" t="str">
        <v/>
      </c>
      <c r="T4" t="str">
        <v/>
      </c>
      <c r="U4" t="str">
        <v/>
      </c>
      <c r="V4" t="str">
        <v/>
      </c>
    </row>
    <row r="5" spans="1:22" ht="25.5" customHeight="1" x14ac:dyDescent="0.35">
      <c r="A5" s="2">
        <v>39447</v>
      </c>
      <c r="B5" t="str">
        <v/>
      </c>
      <c r="C5">
        <v>14.177688160362401</v>
      </c>
      <c r="D5" t="str">
        <v/>
      </c>
      <c r="E5" t="str">
        <v/>
      </c>
      <c r="F5" t="str">
        <v/>
      </c>
      <c r="G5" t="str">
        <v/>
      </c>
      <c r="H5">
        <v>14.6672633006441</v>
      </c>
      <c r="I5">
        <v>16.480780564751502</v>
      </c>
      <c r="J5" s="75" t="str">
        <v/>
      </c>
      <c r="K5" s="75">
        <v>14.403966440200399</v>
      </c>
      <c r="L5">
        <v>16.921333713246799</v>
      </c>
      <c r="M5">
        <v>22.930941215949201</v>
      </c>
      <c r="N5" t="str">
        <v/>
      </c>
      <c r="O5" t="str">
        <v/>
      </c>
      <c r="P5" t="str">
        <v/>
      </c>
      <c r="Q5" t="str">
        <v/>
      </c>
      <c r="R5">
        <v>14.426607707669501</v>
      </c>
      <c r="S5" t="str">
        <v/>
      </c>
      <c r="T5" t="str">
        <v/>
      </c>
      <c r="U5" t="str">
        <v/>
      </c>
      <c r="V5" t="str">
        <v/>
      </c>
    </row>
    <row r="6" spans="1:22" ht="25.5" customHeight="1" x14ac:dyDescent="0.35">
      <c r="A6" s="2">
        <v>39813</v>
      </c>
      <c r="B6" t="str">
        <v/>
      </c>
      <c r="C6">
        <v>11.279880231549299</v>
      </c>
      <c r="D6" t="str">
        <v/>
      </c>
      <c r="E6" t="str">
        <v/>
      </c>
      <c r="F6" t="str">
        <v/>
      </c>
      <c r="G6" t="str">
        <v/>
      </c>
      <c r="H6">
        <v>11.789973955671799</v>
      </c>
      <c r="I6">
        <v>6.1959642113222397</v>
      </c>
      <c r="J6" s="75" t="str">
        <v/>
      </c>
      <c r="K6" s="75">
        <v>9.9245616460946504</v>
      </c>
      <c r="L6">
        <v>15.0739650750282</v>
      </c>
      <c r="M6">
        <v>18.525723394390699</v>
      </c>
      <c r="N6" t="str">
        <v/>
      </c>
      <c r="O6" t="str">
        <v/>
      </c>
      <c r="P6" t="str">
        <v/>
      </c>
      <c r="Q6" t="str">
        <v/>
      </c>
      <c r="R6">
        <v>11.056038571556501</v>
      </c>
      <c r="S6">
        <v>14.532366275604099</v>
      </c>
      <c r="T6" t="str">
        <v/>
      </c>
      <c r="U6" t="str">
        <v/>
      </c>
      <c r="V6" t="str">
        <v/>
      </c>
    </row>
    <row r="7" spans="1:22" ht="25.5" customHeight="1" x14ac:dyDescent="0.35">
      <c r="A7" s="2">
        <v>40178</v>
      </c>
      <c r="B7" t="str">
        <v/>
      </c>
      <c r="C7">
        <v>14.262888391324701</v>
      </c>
      <c r="D7" t="str">
        <v/>
      </c>
      <c r="E7" t="str">
        <v/>
      </c>
      <c r="F7" t="str">
        <v/>
      </c>
      <c r="G7">
        <v>21.648792493302199</v>
      </c>
      <c r="H7">
        <v>12.6973987236168</v>
      </c>
      <c r="I7">
        <v>11.6376050166428</v>
      </c>
      <c r="J7" s="75" t="str">
        <v/>
      </c>
      <c r="K7" s="75">
        <v>13.4147036931661</v>
      </c>
      <c r="L7">
        <v>15.0554926171621</v>
      </c>
      <c r="M7">
        <v>16.422923306743101</v>
      </c>
      <c r="N7" t="str">
        <v/>
      </c>
      <c r="O7" t="str">
        <v/>
      </c>
      <c r="P7" t="str">
        <v/>
      </c>
      <c r="Q7" t="str">
        <v/>
      </c>
      <c r="R7">
        <v>13.178996160463599</v>
      </c>
      <c r="S7">
        <v>15.083253112968899</v>
      </c>
      <c r="T7" t="str">
        <v/>
      </c>
      <c r="U7">
        <v>12.200767858252201</v>
      </c>
      <c r="V7" t="str">
        <v/>
      </c>
    </row>
    <row r="8" spans="1:22" ht="25.5" customHeight="1" x14ac:dyDescent="0.35">
      <c r="A8" s="2">
        <v>40543</v>
      </c>
      <c r="B8" t="str">
        <v/>
      </c>
      <c r="C8">
        <v>14.4661394368492</v>
      </c>
      <c r="D8">
        <v>18.927958558652598</v>
      </c>
      <c r="E8">
        <v>14.7602970828313</v>
      </c>
      <c r="F8">
        <v>12.913640938546299</v>
      </c>
      <c r="G8">
        <v>26.674075406926999</v>
      </c>
      <c r="H8">
        <v>14.629974764894</v>
      </c>
      <c r="I8">
        <v>14.2189185035578</v>
      </c>
      <c r="J8" s="75" t="str">
        <v/>
      </c>
      <c r="K8" s="75">
        <v>14.036452527090301</v>
      </c>
      <c r="L8">
        <v>15.561346162717401</v>
      </c>
      <c r="M8">
        <v>17.9081210683932</v>
      </c>
      <c r="N8" t="str">
        <v/>
      </c>
      <c r="O8" t="str">
        <v/>
      </c>
      <c r="P8" t="str">
        <v/>
      </c>
      <c r="Q8" t="str">
        <v/>
      </c>
      <c r="R8">
        <v>14.9486867959632</v>
      </c>
      <c r="S8">
        <v>15.867602614180599</v>
      </c>
      <c r="T8" t="str">
        <v/>
      </c>
      <c r="U8">
        <v>16.416291532494402</v>
      </c>
      <c r="V8" t="str">
        <v/>
      </c>
    </row>
    <row r="9" spans="1:22" ht="25.5" customHeight="1" x14ac:dyDescent="0.35">
      <c r="A9" s="2">
        <v>40907</v>
      </c>
      <c r="B9" t="str">
        <v/>
      </c>
      <c r="C9">
        <v>14.0754868016221</v>
      </c>
      <c r="D9">
        <v>18.073829290170899</v>
      </c>
      <c r="E9">
        <v>15.192977388624699</v>
      </c>
      <c r="F9">
        <v>11.6682069956937</v>
      </c>
      <c r="G9">
        <v>23.3940784657959</v>
      </c>
      <c r="H9">
        <v>13.8590428625605</v>
      </c>
      <c r="I9">
        <v>11.6486429529888</v>
      </c>
      <c r="J9" s="75" t="str">
        <v/>
      </c>
      <c r="K9" s="75">
        <v>12.893084510288601</v>
      </c>
      <c r="L9">
        <v>13.528023819453299</v>
      </c>
      <c r="M9">
        <v>18.715449271490101</v>
      </c>
      <c r="N9" t="str">
        <v/>
      </c>
      <c r="O9" t="str">
        <v/>
      </c>
      <c r="P9">
        <v>16.2489448712134</v>
      </c>
      <c r="Q9" t="str">
        <v/>
      </c>
      <c r="R9">
        <v>14.3192952203821</v>
      </c>
      <c r="S9">
        <v>14.476918586453699</v>
      </c>
      <c r="T9" t="str">
        <v/>
      </c>
      <c r="U9">
        <v>16.394053839445998</v>
      </c>
      <c r="V9" t="str">
        <v/>
      </c>
    </row>
    <row r="10" spans="1:22" ht="25.5" customHeight="1" x14ac:dyDescent="0.35">
      <c r="A10" s="2">
        <v>41274</v>
      </c>
      <c r="B10" t="str">
        <v/>
      </c>
      <c r="C10">
        <v>12.495289018718699</v>
      </c>
      <c r="D10">
        <v>16.8092892463225</v>
      </c>
      <c r="E10">
        <v>13.700399154582</v>
      </c>
      <c r="F10">
        <v>9.8809529735516293</v>
      </c>
      <c r="G10">
        <v>19.944208300320302</v>
      </c>
      <c r="H10">
        <v>13.233271148596501</v>
      </c>
      <c r="I10">
        <v>11.5182166875632</v>
      </c>
      <c r="J10" s="75" t="str">
        <v/>
      </c>
      <c r="K10" s="75">
        <v>12.474524979665899</v>
      </c>
      <c r="L10">
        <v>11.6623907171401</v>
      </c>
      <c r="M10">
        <v>17.1811698307319</v>
      </c>
      <c r="N10">
        <v>5.1805957088284504</v>
      </c>
      <c r="O10">
        <v>15.6108197056138</v>
      </c>
      <c r="P10">
        <v>14.784483651174799</v>
      </c>
      <c r="Q10" t="str">
        <v/>
      </c>
      <c r="R10">
        <v>15.3579090829836</v>
      </c>
      <c r="S10">
        <v>15.0590425800443</v>
      </c>
      <c r="T10" t="str">
        <v/>
      </c>
      <c r="U10">
        <v>15.4303491131499</v>
      </c>
      <c r="V10" t="str">
        <v/>
      </c>
    </row>
    <row r="11" spans="1:22" ht="25.5" customHeight="1" x14ac:dyDescent="0.35">
      <c r="A11" s="2">
        <v>41639</v>
      </c>
      <c r="B11" t="str">
        <v/>
      </c>
      <c r="C11">
        <v>10.8480668279512</v>
      </c>
      <c r="D11">
        <v>19.102074070579199</v>
      </c>
      <c r="E11">
        <v>13.6976116734629</v>
      </c>
      <c r="F11">
        <v>9.3281966268783805</v>
      </c>
      <c r="G11">
        <v>14.2295976118279</v>
      </c>
      <c r="H11">
        <v>13.0689929250701</v>
      </c>
      <c r="I11">
        <v>11.787759787352099</v>
      </c>
      <c r="J11" s="75" t="str">
        <v/>
      </c>
      <c r="K11" s="75">
        <v>11.4149566191569</v>
      </c>
      <c r="L11">
        <v>12.921670812908999</v>
      </c>
      <c r="M11">
        <v>15.817722548700599</v>
      </c>
      <c r="N11">
        <v>5.0292458068804899</v>
      </c>
      <c r="O11">
        <v>16.096259795639099</v>
      </c>
      <c r="P11">
        <v>14.7477410048543</v>
      </c>
      <c r="Q11" t="str">
        <v/>
      </c>
      <c r="R11">
        <v>14.4834347566328</v>
      </c>
      <c r="S11">
        <v>13.652489797672899</v>
      </c>
      <c r="T11" t="str">
        <v/>
      </c>
      <c r="U11">
        <v>15.275931782209399</v>
      </c>
      <c r="V11" t="str">
        <v/>
      </c>
    </row>
    <row r="12" spans="1:22" ht="25.5" customHeight="1" x14ac:dyDescent="0.35">
      <c r="A12" s="2">
        <v>42004</v>
      </c>
      <c r="B12" t="str">
        <v/>
      </c>
      <c r="C12">
        <v>9.3775833969926392</v>
      </c>
      <c r="D12">
        <v>18.408675050742801</v>
      </c>
      <c r="E12">
        <v>14.219614502703299</v>
      </c>
      <c r="F12">
        <v>9.0840041673954701</v>
      </c>
      <c r="G12">
        <v>12.7121203643147</v>
      </c>
      <c r="H12">
        <v>12.0884430441681</v>
      </c>
      <c r="I12">
        <v>13.127345554295999</v>
      </c>
      <c r="J12" s="75" t="str">
        <v/>
      </c>
      <c r="K12" s="75">
        <v>9.7704768239650406</v>
      </c>
      <c r="L12">
        <v>10.900243591811501</v>
      </c>
      <c r="M12">
        <v>15.0179384562795</v>
      </c>
      <c r="N12">
        <v>6.2845117866267204</v>
      </c>
      <c r="O12">
        <v>15.761277143555301</v>
      </c>
      <c r="P12">
        <v>13.8220324417748</v>
      </c>
      <c r="Q12">
        <v>16.7779984816015</v>
      </c>
      <c r="R12">
        <v>13.1977119976914</v>
      </c>
      <c r="S12">
        <v>12.866544620472</v>
      </c>
      <c r="T12">
        <v>11.0777984350957</v>
      </c>
      <c r="U12">
        <v>10.940366671467601</v>
      </c>
      <c r="V12" t="str">
        <v/>
      </c>
    </row>
    <row r="13" spans="1:22" ht="25.5" customHeight="1" x14ac:dyDescent="0.35">
      <c r="A13" s="2">
        <v>42369</v>
      </c>
      <c r="B13" t="str">
        <v/>
      </c>
      <c r="C13">
        <v>9.5706099133347493</v>
      </c>
      <c r="D13">
        <v>15.6625909554988</v>
      </c>
      <c r="E13">
        <v>13.3322794237975</v>
      </c>
      <c r="F13">
        <v>8.1959389953538402</v>
      </c>
      <c r="G13">
        <v>8.83035011509517</v>
      </c>
      <c r="H13">
        <v>10.6772868053956</v>
      </c>
      <c r="I13">
        <v>12.3828245738855</v>
      </c>
      <c r="J13" s="75" t="str">
        <v/>
      </c>
      <c r="K13" s="75">
        <v>8.8327668312628393</v>
      </c>
      <c r="L13">
        <v>10.634536034874101</v>
      </c>
      <c r="M13">
        <v>14.1296467541483</v>
      </c>
      <c r="N13">
        <v>5.4713363591772302</v>
      </c>
      <c r="O13">
        <v>15.905542104715799</v>
      </c>
      <c r="P13">
        <v>12.264088939939899</v>
      </c>
      <c r="Q13">
        <v>14.881445814290799</v>
      </c>
      <c r="R13">
        <v>12.826134737344599</v>
      </c>
      <c r="S13">
        <v>12.7726870869254</v>
      </c>
      <c r="T13">
        <v>12.304687111449301</v>
      </c>
      <c r="U13">
        <v>8.5756546844961008</v>
      </c>
      <c r="V13">
        <v>12.9007124779981</v>
      </c>
    </row>
    <row r="14" spans="1:22" ht="25.5" customHeight="1" x14ac:dyDescent="0.35">
      <c r="A14" s="2">
        <v>42734</v>
      </c>
      <c r="B14">
        <v>12.035710983290601</v>
      </c>
      <c r="C14">
        <v>8.6838665045544303</v>
      </c>
      <c r="D14">
        <v>15.054606398618001</v>
      </c>
      <c r="E14">
        <v>12.7182053290138</v>
      </c>
      <c r="F14">
        <v>8.8199252772021701</v>
      </c>
      <c r="G14">
        <v>12.5824807721625</v>
      </c>
      <c r="H14">
        <v>9.6001106335987991</v>
      </c>
      <c r="I14">
        <v>11.792466047279699</v>
      </c>
      <c r="J14" s="75">
        <v>12.236196707276701</v>
      </c>
      <c r="K14" s="75">
        <v>9.34985338936219</v>
      </c>
      <c r="L14">
        <v>11.2231596394428</v>
      </c>
      <c r="M14">
        <v>12.9857675631351</v>
      </c>
      <c r="N14">
        <v>4.5660179779951697</v>
      </c>
      <c r="O14">
        <v>15.693091658434399</v>
      </c>
      <c r="P14">
        <v>12.007707790005</v>
      </c>
      <c r="Q14">
        <v>12.143590871822299</v>
      </c>
      <c r="R14">
        <v>12.444505756756399</v>
      </c>
      <c r="S14">
        <v>12.845810717910901</v>
      </c>
      <c r="T14">
        <v>11.0383578639711</v>
      </c>
      <c r="U14">
        <v>13.499140434935599</v>
      </c>
      <c r="V14">
        <v>11.3294751772354</v>
      </c>
    </row>
    <row r="15" spans="1:22" ht="25.5" customHeight="1" x14ac:dyDescent="0.35">
      <c r="A15" s="2">
        <v>43098</v>
      </c>
      <c r="B15">
        <v>13.228058716685799</v>
      </c>
      <c r="C15">
        <v>9.3839204677486396</v>
      </c>
      <c r="D15">
        <v>15.7733994434049</v>
      </c>
      <c r="E15">
        <v>12.3434443766015</v>
      </c>
      <c r="F15">
        <v>10.583812917928499</v>
      </c>
      <c r="G15">
        <v>12.146198718530099</v>
      </c>
      <c r="H15">
        <v>9.8176605925737395</v>
      </c>
      <c r="I15">
        <v>12.5855614416921</v>
      </c>
      <c r="J15" s="75">
        <v>12.6640790394995</v>
      </c>
      <c r="K15" s="75">
        <v>11.1969769851489</v>
      </c>
      <c r="L15">
        <v>13.1487202255739</v>
      </c>
      <c r="M15">
        <v>13.347190311170101</v>
      </c>
      <c r="N15">
        <v>3.9464603441932802</v>
      </c>
      <c r="O15">
        <v>15.3154529754558</v>
      </c>
      <c r="P15">
        <v>13.3821124977803</v>
      </c>
      <c r="Q15">
        <v>12.130655327255299</v>
      </c>
      <c r="R15">
        <v>12.4919200136172</v>
      </c>
      <c r="S15">
        <v>15.205127173103399</v>
      </c>
      <c r="T15">
        <v>12.0257898837902</v>
      </c>
      <c r="U15">
        <v>12.1231419211942</v>
      </c>
      <c r="V15">
        <v>11.9967853551854</v>
      </c>
    </row>
    <row r="16" spans="1:22" ht="25.5" customHeight="1" x14ac:dyDescent="0.35">
      <c r="A16" s="2">
        <v>43465</v>
      </c>
      <c r="B16">
        <v>12.9587909941324</v>
      </c>
      <c r="C16">
        <v>11.2778516938703</v>
      </c>
      <c r="D16">
        <v>15.5352440090718</v>
      </c>
      <c r="E16">
        <v>11.7069295115669</v>
      </c>
      <c r="F16">
        <v>10.265799986894701</v>
      </c>
      <c r="G16">
        <v>10.922533007189999</v>
      </c>
      <c r="H16">
        <v>9.62847705365634</v>
      </c>
      <c r="I16">
        <v>11.512583795260401</v>
      </c>
      <c r="J16" s="75">
        <v>12.897214341888199</v>
      </c>
      <c r="K16" s="75">
        <v>9.7866294798228992</v>
      </c>
      <c r="L16">
        <v>15.197535127506599</v>
      </c>
      <c r="M16">
        <v>14.109787252230101</v>
      </c>
      <c r="N16">
        <v>4.2472666068859901</v>
      </c>
      <c r="O16">
        <v>14.612205045971701</v>
      </c>
      <c r="P16">
        <v>13.2137488528733</v>
      </c>
      <c r="Q16">
        <v>12.394741210409901</v>
      </c>
      <c r="R16">
        <v>12.5523899281401</v>
      </c>
      <c r="S16">
        <v>14.7086929252537</v>
      </c>
      <c r="T16">
        <v>10.390754425831799</v>
      </c>
      <c r="U16">
        <v>15.109726785561501</v>
      </c>
      <c r="V16">
        <v>12.170109651106801</v>
      </c>
    </row>
    <row r="17" spans="1:29" ht="25.5" customHeight="1" x14ac:dyDescent="0.35">
      <c r="A17" s="2">
        <v>43830</v>
      </c>
      <c r="B17">
        <v>13.4754556306809</v>
      </c>
      <c r="C17">
        <v>9.8359095445121802</v>
      </c>
      <c r="D17">
        <v>14.430010325506601</v>
      </c>
      <c r="E17">
        <v>12.0971067278746</v>
      </c>
      <c r="F17">
        <v>9.4389843194853</v>
      </c>
      <c r="G17">
        <v>11.9146021952872</v>
      </c>
      <c r="H17">
        <v>9.3328071547593403</v>
      </c>
      <c r="I17">
        <v>10.899259050671301</v>
      </c>
      <c r="J17" s="75">
        <v>12.086926249434899</v>
      </c>
      <c r="K17" s="75">
        <v>7.6684015316266496</v>
      </c>
      <c r="L17">
        <v>14.5227361903203</v>
      </c>
      <c r="M17">
        <v>13.616354252195</v>
      </c>
      <c r="N17">
        <v>5.8100215417249901</v>
      </c>
      <c r="O17">
        <v>14.535484616308199</v>
      </c>
      <c r="P17">
        <v>12.8854006393898</v>
      </c>
      <c r="Q17">
        <v>11.644637815588201</v>
      </c>
      <c r="R17">
        <v>10.9395949217405</v>
      </c>
      <c r="S17">
        <v>14.839546767448899</v>
      </c>
      <c r="T17">
        <v>8.1284551585460001</v>
      </c>
      <c r="U17">
        <v>15.480793942797201</v>
      </c>
      <c r="V17">
        <v>11.230555983571399</v>
      </c>
    </row>
    <row r="18" spans="1:29" ht="25.5" customHeight="1" x14ac:dyDescent="0.35">
      <c r="A18" s="2">
        <v>44196</v>
      </c>
      <c r="B18">
        <v>12.9930414974506</v>
      </c>
      <c r="C18">
        <v>8.7546394285479199</v>
      </c>
      <c r="D18">
        <v>11.481460421471199</v>
      </c>
      <c r="E18">
        <v>8.9157572980100905</v>
      </c>
      <c r="F18">
        <v>7.2076865078890302</v>
      </c>
      <c r="G18">
        <v>12.0860263580498</v>
      </c>
      <c r="H18">
        <v>10.615395226220899</v>
      </c>
      <c r="I18">
        <v>11.6240969222969</v>
      </c>
      <c r="J18" s="75">
        <v>11.7827107678683</v>
      </c>
      <c r="K18" s="75">
        <v>8.3016925816762797</v>
      </c>
      <c r="L18">
        <v>16.619219837121399</v>
      </c>
      <c r="M18">
        <v>16.711537192718801</v>
      </c>
      <c r="N18">
        <v>5.3671121826145196</v>
      </c>
      <c r="O18">
        <v>12.842383894975899</v>
      </c>
      <c r="P18">
        <v>12.3573132047093</v>
      </c>
      <c r="Q18">
        <v>11.2380998666164</v>
      </c>
      <c r="R18">
        <v>8.3884974981076095</v>
      </c>
      <c r="S18">
        <v>12.8830286544733</v>
      </c>
      <c r="T18">
        <v>6.7620176278083504</v>
      </c>
      <c r="U18">
        <v>17.0889112448112</v>
      </c>
      <c r="V18">
        <v>10.1469870702335</v>
      </c>
    </row>
    <row r="19" spans="1:29" ht="25.5" customHeight="1" x14ac:dyDescent="0.35">
      <c r="A19" s="2">
        <v>44561</v>
      </c>
      <c r="B19">
        <v>13.7625167438192</v>
      </c>
      <c r="C19">
        <v>10.603942137044999</v>
      </c>
      <c r="D19">
        <v>13.692856010670701</v>
      </c>
      <c r="E19">
        <v>9.5994541006399192</v>
      </c>
      <c r="F19">
        <v>10.1460102201106</v>
      </c>
      <c r="G19">
        <v>15.055565772364099</v>
      </c>
      <c r="H19">
        <v>9.4736311465114191</v>
      </c>
      <c r="I19">
        <v>14.728818267673599</v>
      </c>
      <c r="J19" s="75">
        <v>13.687162530438</v>
      </c>
      <c r="K19" s="75">
        <v>10.1400633970943</v>
      </c>
      <c r="L19">
        <v>20.456077237554599</v>
      </c>
      <c r="M19">
        <v>16.932589581546001</v>
      </c>
      <c r="N19">
        <v>8.8257668466653296</v>
      </c>
      <c r="O19">
        <v>15.161217410435301</v>
      </c>
      <c r="P19">
        <v>11.9734420105209</v>
      </c>
      <c r="Q19">
        <v>12.7317850147387</v>
      </c>
      <c r="R19">
        <v>9.9474702709118805</v>
      </c>
      <c r="S19">
        <v>18.572493417842999</v>
      </c>
      <c r="T19">
        <v>11.234942553465</v>
      </c>
      <c r="U19">
        <v>18.3844905030187</v>
      </c>
      <c r="V19">
        <v>12.7997878100329</v>
      </c>
    </row>
    <row r="20" spans="1:29" ht="25.5" customHeight="1" x14ac:dyDescent="0.35">
      <c r="A20" s="2">
        <v>44925</v>
      </c>
      <c r="B20">
        <v>13.3621598994692</v>
      </c>
      <c r="C20">
        <v>12.787732937298401</v>
      </c>
      <c r="D20">
        <v>15.652444067387799</v>
      </c>
      <c r="E20">
        <v>10.673124632626299</v>
      </c>
      <c r="F20">
        <v>10.9641857238333</v>
      </c>
      <c r="G20">
        <v>13.622581444929899</v>
      </c>
      <c r="H20">
        <v>10.1683466984571</v>
      </c>
      <c r="I20">
        <v>12.942650325606101</v>
      </c>
      <c r="J20" s="75">
        <v>13.3394699175221</v>
      </c>
      <c r="K20" s="75">
        <v>7.4921888510366896</v>
      </c>
      <c r="L20">
        <v>19.407551500648001</v>
      </c>
      <c r="M20">
        <v>16.8118349535848</v>
      </c>
      <c r="N20">
        <v>11.0341923380188</v>
      </c>
      <c r="O20">
        <v>14.925386980094199</v>
      </c>
      <c r="P20">
        <v>11.5494541520433</v>
      </c>
      <c r="Q20">
        <v>13.290131357764499</v>
      </c>
      <c r="R20">
        <v>10.1243577068579</v>
      </c>
      <c r="S20">
        <v>24.140963514424499</v>
      </c>
      <c r="T20">
        <v>12.933849359579799</v>
      </c>
      <c r="U20">
        <v>14.7334622511066</v>
      </c>
      <c r="V20">
        <v>13.7783180309653</v>
      </c>
    </row>
    <row r="21" spans="1:29" ht="25.5" customHeight="1" x14ac:dyDescent="0.35">
      <c r="A21" s="2">
        <v>45289</v>
      </c>
      <c r="B21">
        <v>12.017379609927101</v>
      </c>
      <c r="C21">
        <v>13.770087944195501</v>
      </c>
      <c r="D21">
        <v>14.02340332534</v>
      </c>
      <c r="E21">
        <v>11.940709445037699</v>
      </c>
      <c r="F21">
        <v>12.394579327579899</v>
      </c>
      <c r="G21">
        <v>12.932447426875701</v>
      </c>
      <c r="H21">
        <v>9.5588573391121106</v>
      </c>
      <c r="I21">
        <v>11.9186960978366</v>
      </c>
      <c r="J21" s="75">
        <v>13.7129718327555</v>
      </c>
      <c r="K21" s="75">
        <v>8.8929228450710909</v>
      </c>
      <c r="L21">
        <v>18.6086841620772</v>
      </c>
      <c r="M21">
        <v>14.5722752976358</v>
      </c>
      <c r="N21">
        <v>13.1253657894167</v>
      </c>
      <c r="O21">
        <v>16.081240678059899</v>
      </c>
      <c r="P21">
        <v>11.5624016356405</v>
      </c>
      <c r="Q21">
        <v>12.1192289718939</v>
      </c>
      <c r="R21">
        <v>9.34877442177023</v>
      </c>
      <c r="S21">
        <v>25.846008849302699</v>
      </c>
      <c r="T21">
        <v>13.2251182354264</v>
      </c>
      <c r="U21">
        <v>10.732551316765701</v>
      </c>
      <c r="V21">
        <v>11.758331061377</v>
      </c>
    </row>
    <row r="23" spans="1:29" x14ac:dyDescent="0.35">
      <c r="A23" t="s">
        <v>91</v>
      </c>
      <c r="B23" s="8">
        <f t="shared" ref="B23:V23" si="0">MIN(_xlfn.ANCHORARRAY(B2))</f>
        <v>12.017379609927101</v>
      </c>
      <c r="C23" s="8">
        <f t="shared" si="0"/>
        <v>8.6838665045544303</v>
      </c>
      <c r="D23" s="8">
        <f t="shared" si="0"/>
        <v>11.481460421471199</v>
      </c>
      <c r="E23" s="8">
        <f t="shared" si="0"/>
        <v>8.9157572980100905</v>
      </c>
      <c r="F23" s="8">
        <f t="shared" si="0"/>
        <v>7.2076865078890302</v>
      </c>
      <c r="G23" s="8">
        <f t="shared" si="0"/>
        <v>8.83035011509517</v>
      </c>
      <c r="H23" s="8">
        <f t="shared" si="0"/>
        <v>9.3328071547593403</v>
      </c>
      <c r="I23" s="8">
        <f t="shared" si="0"/>
        <v>6.1959642113222397</v>
      </c>
      <c r="J23" s="8">
        <f t="shared" si="0"/>
        <v>11.7827107678683</v>
      </c>
      <c r="K23" s="8">
        <f t="shared" si="0"/>
        <v>7.4921888510366896</v>
      </c>
      <c r="L23" s="8">
        <f t="shared" si="0"/>
        <v>10.634536034874101</v>
      </c>
      <c r="M23" s="8">
        <f t="shared" si="0"/>
        <v>12.9857675631351</v>
      </c>
      <c r="N23" s="8">
        <f t="shared" si="0"/>
        <v>3.9464603441932802</v>
      </c>
      <c r="O23" s="8">
        <f t="shared" si="0"/>
        <v>12.842383894975899</v>
      </c>
      <c r="P23" s="8">
        <f t="shared" si="0"/>
        <v>11.5494541520433</v>
      </c>
      <c r="Q23" s="8">
        <f t="shared" si="0"/>
        <v>11.2380998666164</v>
      </c>
      <c r="R23" s="8">
        <f t="shared" si="0"/>
        <v>8.3884974981076095</v>
      </c>
      <c r="S23" s="8">
        <f t="shared" si="0"/>
        <v>12.7726870869254</v>
      </c>
      <c r="T23" s="8">
        <f t="shared" si="0"/>
        <v>6.7620176278083504</v>
      </c>
      <c r="U23" s="8">
        <f t="shared" si="0"/>
        <v>8.5756546844961008</v>
      </c>
      <c r="V23" s="8">
        <f t="shared" si="0"/>
        <v>10.1469870702335</v>
      </c>
      <c r="W23" s="8"/>
      <c r="X23" s="8"/>
      <c r="Y23" s="8"/>
      <c r="Z23" s="8"/>
      <c r="AA23" s="8"/>
      <c r="AB23" s="8"/>
      <c r="AC23" s="8"/>
    </row>
    <row r="24" spans="1:29" x14ac:dyDescent="0.35">
      <c r="A24" t="s">
        <v>397</v>
      </c>
      <c r="B24" s="8">
        <f t="shared" ref="B24:V24" si="1">MEDIAN(_xlfn.ANCHORARRAY(B2))</f>
        <v>13.1105501070682</v>
      </c>
      <c r="C24" s="8">
        <f t="shared" si="1"/>
        <v>11.2778516938703</v>
      </c>
      <c r="D24" s="8">
        <f t="shared" si="1"/>
        <v>15.657517511443299</v>
      </c>
      <c r="E24" s="8">
        <f t="shared" si="1"/>
        <v>12.530824852807651</v>
      </c>
      <c r="F24" s="8">
        <f t="shared" si="1"/>
        <v>10.013481596831115</v>
      </c>
      <c r="G24" s="8">
        <f t="shared" si="1"/>
        <v>12.932447426875701</v>
      </c>
      <c r="H24" s="8">
        <f t="shared" si="1"/>
        <v>11.93920849991995</v>
      </c>
      <c r="I24" s="8">
        <f t="shared" si="1"/>
        <v>12.150760335861051</v>
      </c>
      <c r="J24" s="8">
        <f t="shared" si="1"/>
        <v>12.78064669069385</v>
      </c>
      <c r="K24" s="8">
        <f t="shared" si="1"/>
        <v>10.668520191121601</v>
      </c>
      <c r="L24" s="8">
        <f t="shared" si="1"/>
        <v>14.7891144037412</v>
      </c>
      <c r="M24" s="8">
        <f t="shared" si="1"/>
        <v>16.7616860731518</v>
      </c>
      <c r="N24" s="8">
        <f t="shared" si="1"/>
        <v>5.4192242708958744</v>
      </c>
      <c r="O24" s="8">
        <f t="shared" si="1"/>
        <v>15.463136340534799</v>
      </c>
      <c r="P24" s="8">
        <f t="shared" si="1"/>
        <v>12.8854006393898</v>
      </c>
      <c r="Q24" s="8">
        <f t="shared" si="1"/>
        <v>12.269166041116101</v>
      </c>
      <c r="R24" s="8">
        <f t="shared" si="1"/>
        <v>13.0025654489041</v>
      </c>
      <c r="S24" s="8">
        <f t="shared" si="1"/>
        <v>14.774119846351301</v>
      </c>
      <c r="T24" s="8">
        <f t="shared" si="1"/>
        <v>11.156370494280349</v>
      </c>
      <c r="U24" s="8">
        <f t="shared" si="1"/>
        <v>15.109726785561501</v>
      </c>
      <c r="V24" s="8">
        <f t="shared" si="1"/>
        <v>11.9967853551854</v>
      </c>
      <c r="W24" s="8"/>
      <c r="X24" s="8"/>
      <c r="Y24" s="8"/>
      <c r="Z24" s="8"/>
      <c r="AA24" s="8"/>
      <c r="AB24" s="8"/>
      <c r="AC24" s="8"/>
    </row>
    <row r="25" spans="1:29" x14ac:dyDescent="0.35">
      <c r="A25" t="s">
        <v>507</v>
      </c>
      <c r="B25" s="8">
        <f t="shared" ref="B25:V25" si="2">B21</f>
        <v>12.017379609927101</v>
      </c>
      <c r="C25" s="8">
        <f t="shared" si="2"/>
        <v>13.770087944195501</v>
      </c>
      <c r="D25" s="8">
        <f t="shared" si="2"/>
        <v>14.02340332534</v>
      </c>
      <c r="E25" s="8">
        <f t="shared" si="2"/>
        <v>11.940709445037699</v>
      </c>
      <c r="F25" s="8">
        <f t="shared" si="2"/>
        <v>12.394579327579899</v>
      </c>
      <c r="G25" s="8">
        <f t="shared" si="2"/>
        <v>12.932447426875701</v>
      </c>
      <c r="H25" s="8">
        <f t="shared" si="2"/>
        <v>9.5588573391121106</v>
      </c>
      <c r="I25" s="8">
        <f t="shared" si="2"/>
        <v>11.9186960978366</v>
      </c>
      <c r="J25" s="8">
        <f t="shared" si="2"/>
        <v>13.7129718327555</v>
      </c>
      <c r="K25" s="8">
        <f t="shared" si="2"/>
        <v>8.8929228450710909</v>
      </c>
      <c r="L25" s="8">
        <f t="shared" si="2"/>
        <v>18.6086841620772</v>
      </c>
      <c r="M25" s="8">
        <f t="shared" si="2"/>
        <v>14.5722752976358</v>
      </c>
      <c r="N25" s="8">
        <f t="shared" si="2"/>
        <v>13.1253657894167</v>
      </c>
      <c r="O25" s="8">
        <f t="shared" si="2"/>
        <v>16.081240678059899</v>
      </c>
      <c r="P25" s="8">
        <f t="shared" si="2"/>
        <v>11.5624016356405</v>
      </c>
      <c r="Q25" s="8">
        <f t="shared" si="2"/>
        <v>12.1192289718939</v>
      </c>
      <c r="R25" s="8">
        <f t="shared" si="2"/>
        <v>9.34877442177023</v>
      </c>
      <c r="S25" s="8">
        <f t="shared" si="2"/>
        <v>25.846008849302699</v>
      </c>
      <c r="T25" s="8">
        <f t="shared" si="2"/>
        <v>13.2251182354264</v>
      </c>
      <c r="U25" s="8">
        <f t="shared" si="2"/>
        <v>10.732551316765701</v>
      </c>
      <c r="V25" s="8">
        <f t="shared" si="2"/>
        <v>11.758331061377</v>
      </c>
      <c r="W25" s="8"/>
      <c r="X25" s="8"/>
      <c r="Y25" s="8"/>
      <c r="Z25" s="8"/>
      <c r="AA25" s="8"/>
      <c r="AB25" s="8"/>
      <c r="AC25" s="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583CA-1521-42D4-B4D5-EABE25AFEA35}">
  <dimension ref="A1:AE28"/>
  <sheetViews>
    <sheetView topLeftCell="G1" zoomScale="85" zoomScaleNormal="85" workbookViewId="0">
      <selection activeCell="M33" sqref="M33"/>
    </sheetView>
  </sheetViews>
  <sheetFormatPr defaultRowHeight="14.5" x14ac:dyDescent="0.35"/>
  <cols>
    <col min="1" max="1" width="19.54296875" hidden="1" customWidth="1"/>
    <col min="2" max="2" width="12.54296875" hidden="1" customWidth="1"/>
    <col min="3" max="3" width="15.54296875" hidden="1" customWidth="1"/>
    <col min="4" max="4" width="13.81640625" hidden="1" customWidth="1"/>
    <col min="5" max="5" width="23.54296875" hidden="1" customWidth="1"/>
    <col min="6" max="6" width="9.54296875" hidden="1" customWidth="1"/>
    <col min="7" max="9" width="19.453125" customWidth="1"/>
    <col min="10" max="10" width="34.453125" bestFit="1" customWidth="1"/>
    <col min="11" max="11" width="19.453125" customWidth="1"/>
    <col min="12" max="12" width="11" customWidth="1"/>
    <col min="13" max="13" width="11" bestFit="1" customWidth="1"/>
    <col min="16" max="16" width="11.453125" customWidth="1"/>
    <col min="17" max="17" width="10.453125" bestFit="1" customWidth="1"/>
    <col min="18" max="18" width="13.453125" customWidth="1"/>
    <col min="28" max="28" width="13" customWidth="1"/>
  </cols>
  <sheetData>
    <row r="1" spans="1:28" ht="18.5" x14ac:dyDescent="0.55000000000000004">
      <c r="K1" s="65" t="s">
        <v>795</v>
      </c>
      <c r="L1" s="184">
        <f ca="1">EDATE(TODAY(), -1)</f>
        <v>45465</v>
      </c>
      <c r="M1" s="121"/>
    </row>
    <row r="2" spans="1:28" ht="15" thickBot="1" x14ac:dyDescent="0.4">
      <c r="K2" s="12" t="s">
        <v>796</v>
      </c>
      <c r="L2" s="185">
        <f ca="1">EDATE(TODAY(), -4)</f>
        <v>45373</v>
      </c>
    </row>
    <row r="3" spans="1:28" ht="50.25" customHeight="1" x14ac:dyDescent="0.35">
      <c r="E3" t="s">
        <v>760</v>
      </c>
      <c r="F3" t="s">
        <v>761</v>
      </c>
      <c r="H3" t="s">
        <v>779</v>
      </c>
      <c r="I3" t="s">
        <v>574</v>
      </c>
      <c r="J3" t="s">
        <v>529</v>
      </c>
      <c r="M3" s="119" t="s">
        <v>780</v>
      </c>
      <c r="N3" t="str" cm="1">
        <f t="array" aca="1" ref="N3" ca="1">_xll.FDSRC("-","DUMMY","ECON_DATE("&amp;$L$1&amp;",,, 'MM/YYYY')")</f>
        <v>06/2024</v>
      </c>
      <c r="O3" t="str" cm="1">
        <f t="array" aca="1" ref="O3" ca="1">_xll.FDSRC("-","DUMMY","ECON_DATE("&amp;$L$2&amp;",,, 'MM/YYYY')")</f>
        <v>03/2024</v>
      </c>
      <c r="P3" s="119" t="s">
        <v>786</v>
      </c>
      <c r="Q3" s="119" t="s">
        <v>798</v>
      </c>
      <c r="R3" s="122" t="s">
        <v>799</v>
      </c>
      <c r="S3" s="122" t="s">
        <v>561</v>
      </c>
      <c r="T3" s="122" t="s">
        <v>750</v>
      </c>
    </row>
    <row r="4" spans="1:28" x14ac:dyDescent="0.35">
      <c r="A4" t="s">
        <v>432</v>
      </c>
      <c r="B4" t="s">
        <v>435</v>
      </c>
      <c r="C4" t="s">
        <v>432</v>
      </c>
      <c r="D4" t="s">
        <v>762</v>
      </c>
      <c r="E4">
        <v>53.6</v>
      </c>
      <c r="F4">
        <v>2.4</v>
      </c>
      <c r="G4" t="s">
        <v>104</v>
      </c>
      <c r="H4" s="116" t="s">
        <v>765</v>
      </c>
      <c r="I4" s="117" t="s">
        <v>615</v>
      </c>
      <c r="J4" s="118" t="s">
        <v>435</v>
      </c>
      <c r="K4" s="118" t="s">
        <v>432</v>
      </c>
      <c r="L4" t="s">
        <v>762</v>
      </c>
      <c r="M4" cm="1">
        <f t="array" ref="M4">IF(_xll.FDSRC(,"DUMMY","ECON_EXPR_DATA('FDS_ECON["&amp;H4&amp;"]',,,M)")=0,$J$28,_xll.FDSRC(,"DUMMY","ECON_EXPR_DATA('FDS_ECON["&amp;H4&amp;"]',,,M)"))</f>
        <v>51.786630000000002</v>
      </c>
      <c r="N4" cm="1">
        <f t="array" aca="1" ref="N4" ca="1">_xll.FDSRC("-","DUMMY","ECON_EXPR_DATA('FDS_ECON["&amp;H4&amp;"]',"&amp;$N$3&amp;",,Q)")</f>
        <v>51.644539999999999</v>
      </c>
      <c r="O4" cm="1">
        <f t="array" aca="1" ref="O4" ca="1">_xll.FDSRC("-","DUMMY","ECON_EXPR_DATA('FDS_ECON["&amp;H4&amp;"]',"&amp;$O$3&amp;",,Q)")</f>
        <v>50.938282000000001</v>
      </c>
      <c r="P4">
        <f t="shared" ref="P4:P24" ca="1" si="0">IFERROR(N4-O4,$M$28)</f>
        <v>0.70625799999999828</v>
      </c>
      <c r="Q4" cm="1">
        <f t="array" ref="Q4">_xlfn.PERCENTRANK.EXC(_xlfn._xlws.FILTER(M$4:M$24, ISNUMBER(M$4:M$24)),M4)*100</f>
        <v>40.9</v>
      </c>
      <c r="R4" cm="1">
        <f t="array" aca="1" ref="R4" ca="1">_xlfn.PERCENTRANK.EXC(_xlfn._xlws.FILTER(P$4:P$24, ISNUMBER(P$4:P$24)),P4)*100</f>
        <v>59</v>
      </c>
      <c r="S4">
        <f ca="1">Q4*Assumption!$E$27 + R4*Assumption!$F$27</f>
        <v>48.14</v>
      </c>
      <c r="T4" cm="1">
        <f t="array" aca="1" ref="T4" ca="1">_xlfn.PERCENTRANK.EXC(_xlfn._xlws.FILTER(S$4:S$24, ISNUMBER(S$4:S$24)),S4)*100</f>
        <v>36.299999999999997</v>
      </c>
    </row>
    <row r="5" spans="1:28" x14ac:dyDescent="0.35">
      <c r="A5" t="s">
        <v>27</v>
      </c>
      <c r="B5" t="s">
        <v>436</v>
      </c>
      <c r="C5" t="s">
        <v>27</v>
      </c>
      <c r="D5" t="s">
        <v>762</v>
      </c>
      <c r="E5">
        <v>54.9</v>
      </c>
      <c r="F5">
        <v>3.1</v>
      </c>
      <c r="G5" t="s">
        <v>107</v>
      </c>
      <c r="H5" s="116" t="s">
        <v>781</v>
      </c>
      <c r="I5" s="117" t="s">
        <v>614</v>
      </c>
      <c r="J5" s="118" t="s">
        <v>436</v>
      </c>
      <c r="K5" s="118" t="s">
        <v>27</v>
      </c>
      <c r="L5" t="s">
        <v>762</v>
      </c>
      <c r="M5" cm="1">
        <f t="array" ref="M5">IF(_xll.FDSRC(,"DUMMY","ECON_EXPR_DATA('FDS_ECON["&amp;H5&amp;"]',,,M)")=0,$J$28,_xll.FDSRC(,"DUMMY","ECON_EXPR_DATA('FDS_ECON["&amp;H5&amp;"]',,,M)"))</f>
        <v>52.095469999999999</v>
      </c>
      <c r="N5" t="str" cm="1">
        <f t="array" aca="1" ref="N5" ca="1">_xll.FDSRC("-","DUMMY","ECON_EXPR_DATA('FDS_ECON["&amp;H5&amp;"]',"&amp;$N$3&amp;",,Q)")</f>
        <v>-</v>
      </c>
      <c r="O5" t="str" cm="1">
        <f t="array" aca="1" ref="O5" ca="1">_xll.FDSRC("-","DUMMY","ECON_EXPR_DATA('FDS_ECON["&amp;H5&amp;"]',"&amp;$O$3&amp;",,Q)")</f>
        <v>-</v>
      </c>
      <c r="P5">
        <f t="shared" ca="1" si="0"/>
        <v>0.50492099999999596</v>
      </c>
      <c r="Q5" cm="1">
        <f t="array" ref="Q5">_xlfn.PERCENTRANK.EXC(_xlfn._xlws.FILTER(M$4:M$24, ISNUMBER(M$4:M$24)),M5)*100</f>
        <v>54.500000000000007</v>
      </c>
      <c r="R5" cm="1">
        <f t="array" aca="1" ref="R5" ca="1">_xlfn.PERCENTRANK.EXC(_xlfn._xlws.FILTER(P$4:P$24, ISNUMBER(P$4:P$24)),P5)*100</f>
        <v>40.9</v>
      </c>
      <c r="S5">
        <f ca="1">Q5*Assumption!$E$27 + R5*Assumption!$F$27</f>
        <v>49.06</v>
      </c>
      <c r="T5" cm="1">
        <f t="array" aca="1" ref="T5" ca="1">_xlfn.PERCENTRANK.EXC(_xlfn._xlws.FILTER(S$4:S$24, ISNUMBER(S$4:S$24)),S5)*100</f>
        <v>45.4</v>
      </c>
    </row>
    <row r="6" spans="1:28" x14ac:dyDescent="0.35">
      <c r="A6" t="s">
        <v>35</v>
      </c>
      <c r="B6" t="s">
        <v>437</v>
      </c>
      <c r="C6" t="s">
        <v>35</v>
      </c>
      <c r="D6" t="s">
        <v>762</v>
      </c>
      <c r="E6">
        <v>54.9</v>
      </c>
      <c r="F6">
        <v>3.1</v>
      </c>
      <c r="G6" t="s">
        <v>124</v>
      </c>
      <c r="H6" s="116" t="s">
        <v>767</v>
      </c>
      <c r="I6" s="117" t="s">
        <v>651</v>
      </c>
      <c r="J6" s="118" t="s">
        <v>437</v>
      </c>
      <c r="K6" s="118" t="s">
        <v>35</v>
      </c>
      <c r="L6" t="s">
        <v>762</v>
      </c>
      <c r="M6" cm="1">
        <f t="array" ref="M6">IF(_xll.FDSRC(,"DUMMY","ECON_EXPR_DATA('FDS_ECON["&amp;H6&amp;"]',,,M)")=0,$J$28,_xll.FDSRC(,"DUMMY","ECON_EXPR_DATA('FDS_ECON["&amp;H6&amp;"]',,,M)"))</f>
        <v>50.657800000000002</v>
      </c>
      <c r="N6" cm="1">
        <f t="array" aca="1" ref="N6" ca="1">_xll.FDSRC("-","DUMMY","ECON_EXPR_DATA('FDS_ECON["&amp;H6&amp;"]',"&amp;$N$3&amp;",,Q)")</f>
        <v>51.877549999999999</v>
      </c>
      <c r="O6" cm="1">
        <f t="array" aca="1" ref="O6" ca="1">_xll.FDSRC("-","DUMMY","ECON_EXPR_DATA('FDS_ECON["&amp;H6&amp;"]',"&amp;$O$3&amp;",,Q)")</f>
        <v>53.247562000000002</v>
      </c>
      <c r="P6">
        <f t="shared" ca="1" si="0"/>
        <v>-1.3700120000000027</v>
      </c>
      <c r="Q6" cm="1">
        <f t="array" ref="Q6">_xlfn.PERCENTRANK.EXC(_xlfn._xlws.FILTER(M$4:M$24, ISNUMBER(M$4:M$24)),M6)*100</f>
        <v>22.7</v>
      </c>
      <c r="R6" cm="1">
        <f t="array" aca="1" ref="R6" ca="1">_xlfn.PERCENTRANK.EXC(_xlfn._xlws.FILTER(P$4:P$24, ISNUMBER(P$4:P$24)),P6)*100</f>
        <v>9</v>
      </c>
      <c r="S6">
        <f ca="1">Q6*Assumption!$E$27 + R6*Assumption!$F$27</f>
        <v>17.22</v>
      </c>
      <c r="T6" cm="1">
        <f t="array" aca="1" ref="T6" ca="1">_xlfn.PERCENTRANK.EXC(_xlfn._xlws.FILTER(S$4:S$24, ISNUMBER(S$4:S$24)),S6)*100</f>
        <v>13.600000000000001</v>
      </c>
    </row>
    <row r="7" spans="1:28" x14ac:dyDescent="0.35">
      <c r="A7" t="s">
        <v>30</v>
      </c>
      <c r="B7" t="s">
        <v>438</v>
      </c>
      <c r="C7" t="s">
        <v>30</v>
      </c>
      <c r="D7" t="s">
        <v>762</v>
      </c>
      <c r="E7">
        <v>54.9</v>
      </c>
      <c r="F7">
        <v>3.1</v>
      </c>
      <c r="G7" t="s">
        <v>117</v>
      </c>
      <c r="H7" s="116" t="s">
        <v>789</v>
      </c>
      <c r="I7" s="117" t="s">
        <v>699</v>
      </c>
      <c r="J7" s="118" t="s">
        <v>438</v>
      </c>
      <c r="K7" s="118" t="s">
        <v>30</v>
      </c>
      <c r="L7" t="s">
        <v>762</v>
      </c>
      <c r="M7" cm="1">
        <f t="array" ref="M7">IF(_xll.FDSRC(,"DUMMY","ECON_EXPR_DATA('FDS_ECON["&amp;H7&amp;"]',,,M)")=0,$J$28,_xll.FDSRC(,"DUMMY","ECON_EXPR_DATA('FDS_ECON["&amp;H7&amp;"]',,,M)"))</f>
        <v>51.305109999999999</v>
      </c>
      <c r="N7" cm="1">
        <f t="array" aca="1" ref="N7" ca="1">_xll.FDSRC("-","DUMMY","ECON_EXPR_DATA('FDS_ECON["&amp;H7&amp;"]',"&amp;$N$3&amp;",,Q)")</f>
        <v>51.780430000000003</v>
      </c>
      <c r="O7" cm="1">
        <f t="array" aca="1" ref="O7" ca="1">_xll.FDSRC("-","DUMMY","ECON_EXPR_DATA('FDS_ECON["&amp;H7&amp;"]',"&amp;$O$3&amp;",,Q)")</f>
        <v>50.931423000000002</v>
      </c>
      <c r="P7">
        <f t="shared" ca="1" si="0"/>
        <v>0.84900700000000029</v>
      </c>
      <c r="Q7" cm="1">
        <f t="array" ref="Q7">_xlfn.PERCENTRANK.EXC(_xlfn._xlws.FILTER(M$4:M$24, ISNUMBER(M$4:M$24)),M7)*100</f>
        <v>31.8</v>
      </c>
      <c r="R7" cm="1">
        <f t="array" aca="1" ref="R7" ca="1">_xlfn.PERCENTRANK.EXC(_xlfn._xlws.FILTER(P$4:P$24, ISNUMBER(P$4:P$24)),P7)*100</f>
        <v>77.2</v>
      </c>
      <c r="S7">
        <f ca="1">Q7*Assumption!$E$27 + R7*Assumption!$F$27</f>
        <v>49.96</v>
      </c>
      <c r="T7" cm="1">
        <f t="array" aca="1" ref="T7" ca="1">_xlfn.PERCENTRANK.EXC(_xlfn._xlws.FILTER(S$4:S$24, ISNUMBER(S$4:S$24)),S7)*100</f>
        <v>59</v>
      </c>
    </row>
    <row r="8" spans="1:28" x14ac:dyDescent="0.35">
      <c r="A8" t="s">
        <v>23</v>
      </c>
      <c r="B8" t="s">
        <v>439</v>
      </c>
      <c r="C8" t="s">
        <v>23</v>
      </c>
      <c r="D8" t="s">
        <v>762</v>
      </c>
      <c r="E8">
        <v>54.9</v>
      </c>
      <c r="F8">
        <v>3.1</v>
      </c>
      <c r="G8" t="s">
        <v>100</v>
      </c>
      <c r="H8" s="116" t="s">
        <v>773</v>
      </c>
      <c r="I8" s="117" t="s">
        <v>700</v>
      </c>
      <c r="J8" s="118" t="s">
        <v>439</v>
      </c>
      <c r="K8" s="118" t="s">
        <v>23</v>
      </c>
      <c r="L8" t="s">
        <v>762</v>
      </c>
      <c r="M8" cm="1">
        <f t="array" ref="M8">IF(_xll.FDSRC(,"DUMMY","ECON_EXPR_DATA('FDS_ECON["&amp;H8&amp;"]',,,M)")=0,$J$28,_xll.FDSRC(,"DUMMY","ECON_EXPR_DATA('FDS_ECON["&amp;H8&amp;"]',,,M)"))</f>
        <v>45.049861999999997</v>
      </c>
      <c r="N8" cm="1">
        <f t="array" aca="1" ref="N8" ca="1">_xll.FDSRC("-","DUMMY","ECON_EXPR_DATA('FDS_ECON["&amp;H8&amp;"]',"&amp;$N$3&amp;",,Q)")</f>
        <v>45.313136999999998</v>
      </c>
      <c r="O8" cm="1">
        <f t="array" aca="1" ref="O8" ca="1">_xll.FDSRC("-","DUMMY","ECON_EXPR_DATA('FDS_ECON["&amp;H8&amp;"]',"&amp;$O$3&amp;",,Q)")</f>
        <v>47.649479999999997</v>
      </c>
      <c r="P8">
        <f t="shared" ca="1" si="0"/>
        <v>-2.3363429999999994</v>
      </c>
      <c r="Q8" cm="1">
        <f t="array" ref="Q8">_xlfn.PERCENTRANK.EXC(_xlfn._xlws.FILTER(M$4:M$24, ISNUMBER(M$4:M$24)),M8)*100</f>
        <v>4.5</v>
      </c>
      <c r="R8" cm="1">
        <f t="array" aca="1" ref="R8" ca="1">_xlfn.PERCENTRANK.EXC(_xlfn._xlws.FILTER(P$4:P$24, ISNUMBER(P$4:P$24)),P8)*100</f>
        <v>4.5</v>
      </c>
      <c r="S8">
        <f ca="1">Q8*Assumption!$E$27 + R8*Assumption!$F$27</f>
        <v>4.5</v>
      </c>
      <c r="T8" cm="1">
        <f t="array" aca="1" ref="T8" ca="1">_xlfn.PERCENTRANK.EXC(_xlfn._xlws.FILTER(S$4:S$24, ISNUMBER(S$4:S$24)),S8)*100</f>
        <v>4.5</v>
      </c>
    </row>
    <row r="9" spans="1:28" x14ac:dyDescent="0.35">
      <c r="A9" t="s">
        <v>29</v>
      </c>
      <c r="B9" t="s">
        <v>440</v>
      </c>
      <c r="C9" t="s">
        <v>29</v>
      </c>
      <c r="D9" t="s">
        <v>762</v>
      </c>
      <c r="E9">
        <v>54.9</v>
      </c>
      <c r="F9">
        <v>3.1</v>
      </c>
      <c r="G9" t="s">
        <v>112</v>
      </c>
      <c r="H9" s="116" t="s">
        <v>782</v>
      </c>
      <c r="I9" s="117" t="s">
        <v>698</v>
      </c>
      <c r="J9" s="118" t="s">
        <v>440</v>
      </c>
      <c r="K9" s="118" t="s">
        <v>29</v>
      </c>
      <c r="L9" t="s">
        <v>762</v>
      </c>
      <c r="M9" cm="1">
        <f t="array" ref="M9">IF(_xll.FDSRC(,"DUMMY","ECON_EXPR_DATA('FDS_ECON["&amp;H9&amp;"]',,,M)")=0,$J$28,_xll.FDSRC(,"DUMMY","ECON_EXPR_DATA('FDS_ECON["&amp;H9&amp;"]',,,M)"))</f>
        <v>52.095469999999999</v>
      </c>
      <c r="N9" t="str" cm="1">
        <f t="array" aca="1" ref="N9" ca="1">_xll.FDSRC("-","DUMMY","ECON_EXPR_DATA('FDS_ECON["&amp;H9&amp;"]',"&amp;$N$3&amp;",,Q)")</f>
        <v>-</v>
      </c>
      <c r="O9" t="str" cm="1">
        <f t="array" aca="1" ref="O9" ca="1">_xll.FDSRC("-","DUMMY","ECON_EXPR_DATA('FDS_ECON["&amp;H9&amp;"]',"&amp;$O$3&amp;",,Q)")</f>
        <v>-</v>
      </c>
      <c r="P9">
        <f t="shared" ca="1" si="0"/>
        <v>0.50492099999999596</v>
      </c>
      <c r="Q9" cm="1">
        <f t="array" ref="Q9">_xlfn.PERCENTRANK.EXC(_xlfn._xlws.FILTER(M$4:M$24, ISNUMBER(M$4:M$24)),M9)*100</f>
        <v>54.500000000000007</v>
      </c>
      <c r="R9" cm="1">
        <f t="array" aca="1" ref="R9" ca="1">_xlfn.PERCENTRANK.EXC(_xlfn._xlws.FILTER(P$4:P$24, ISNUMBER(P$4:P$24)),P9)*100</f>
        <v>40.9</v>
      </c>
      <c r="S9">
        <f ca="1">Q9*Assumption!$E$27 + R9*Assumption!$F$27</f>
        <v>49.06</v>
      </c>
      <c r="T9" cm="1">
        <f t="array" aca="1" ref="T9" ca="1">_xlfn.PERCENTRANK.EXC(_xlfn._xlws.FILTER(S$4:S$24, ISNUMBER(S$4:S$24)),S9)*100</f>
        <v>45.4</v>
      </c>
    </row>
    <row r="10" spans="1:28" x14ac:dyDescent="0.35">
      <c r="A10" t="s">
        <v>33</v>
      </c>
      <c r="B10" t="s">
        <v>441</v>
      </c>
      <c r="C10" t="s">
        <v>33</v>
      </c>
      <c r="D10" t="s">
        <v>762</v>
      </c>
      <c r="E10">
        <v>54.9</v>
      </c>
      <c r="F10">
        <v>3.1</v>
      </c>
      <c r="G10" t="s">
        <v>122</v>
      </c>
      <c r="H10" s="116" t="s">
        <v>790</v>
      </c>
      <c r="I10" s="117" t="s">
        <v>673</v>
      </c>
      <c r="J10" s="118" t="s">
        <v>441</v>
      </c>
      <c r="K10" s="118" t="s">
        <v>33</v>
      </c>
      <c r="L10" t="s">
        <v>762</v>
      </c>
      <c r="M10" cm="1">
        <f t="array" ref="M10">IF(_xll.FDSRC(,"DUMMY","ECON_EXPR_DATA('FDS_ECON["&amp;H10&amp;"]',,,M)")=0,$J$28,_xll.FDSRC(,"DUMMY","ECON_EXPR_DATA('FDS_ECON["&amp;H10&amp;"]',,,M)"))</f>
        <v>49.896380000000001</v>
      </c>
      <c r="N10" cm="1">
        <f t="array" aca="1" ref="N10" ca="1">_xll.FDSRC("-","DUMMY","ECON_EXPR_DATA('FDS_ECON["&amp;H10&amp;"]',"&amp;$N$3&amp;",,Q)")</f>
        <v>49.669699999999999</v>
      </c>
      <c r="O10" cm="1">
        <f t="array" aca="1" ref="O10" ca="1">_xll.FDSRC("-","DUMMY","ECON_EXPR_DATA('FDS_ECON["&amp;H10&amp;"]',"&amp;$O$3&amp;",,Q)")</f>
        <v>48.949710000000003</v>
      </c>
      <c r="P10">
        <f t="shared" ca="1" si="0"/>
        <v>0.71998999999999569</v>
      </c>
      <c r="Q10" cm="1">
        <f t="array" ref="Q10">_xlfn.PERCENTRANK.EXC(_xlfn._xlws.FILTER(M$4:M$24, ISNUMBER(M$4:M$24)),M10)*100</f>
        <v>18.099999999999998</v>
      </c>
      <c r="R10" cm="1">
        <f t="array" aca="1" ref="R10" ca="1">_xlfn.PERCENTRANK.EXC(_xlfn._xlws.FILTER(P$4:P$24, ISNUMBER(P$4:P$24)),P10)*100</f>
        <v>68.100000000000009</v>
      </c>
      <c r="S10">
        <f ca="1">Q10*Assumption!$E$27 + R10*Assumption!$F$27</f>
        <v>38.1</v>
      </c>
      <c r="T10" cm="1">
        <f t="array" aca="1" ref="T10" ca="1">_xlfn.PERCENTRANK.EXC(_xlfn._xlws.FILTER(S$4:S$24, ISNUMBER(S$4:S$24)),S10)*100</f>
        <v>27.200000000000003</v>
      </c>
    </row>
    <row r="11" spans="1:28" x14ac:dyDescent="0.35">
      <c r="A11" t="s">
        <v>24</v>
      </c>
      <c r="B11" t="s">
        <v>40</v>
      </c>
      <c r="C11" t="s">
        <v>24</v>
      </c>
      <c r="D11" t="s">
        <v>762</v>
      </c>
      <c r="E11">
        <v>54.9</v>
      </c>
      <c r="F11">
        <v>3.1</v>
      </c>
      <c r="G11" t="s">
        <v>103</v>
      </c>
      <c r="H11" s="116" t="s">
        <v>770</v>
      </c>
      <c r="I11" s="117" t="s">
        <v>720</v>
      </c>
      <c r="J11" s="118" t="s">
        <v>40</v>
      </c>
      <c r="K11" s="118" t="s">
        <v>24</v>
      </c>
      <c r="L11" t="s">
        <v>762</v>
      </c>
      <c r="M11" cm="1">
        <f t="array" ref="M11">IF(_xll.FDSRC(,"DUMMY","ECON_EXPR_DATA('FDS_ECON["&amp;H11&amp;"]',,,M)")=0,$J$28,_xll.FDSRC(,"DUMMY","ECON_EXPR_DATA('FDS_ECON["&amp;H11&amp;"]',,,M)"))</f>
        <v>53.2</v>
      </c>
      <c r="N11" cm="1">
        <f t="array" aca="1" ref="N11" ca="1">_xll.FDSRC("-","DUMMY","ECON_EXPR_DATA('FDS_ECON["&amp;H11&amp;"]',"&amp;$N$3&amp;",,Q)")</f>
        <v>51.410823999999998</v>
      </c>
      <c r="O11" cm="1">
        <f t="array" aca="1" ref="O11" ca="1">_xll.FDSRC("-","DUMMY","ECON_EXPR_DATA('FDS_ECON["&amp;H11&amp;"]',"&amp;$O$3&amp;",,Q)")</f>
        <v>48.895138000000003</v>
      </c>
      <c r="P11">
        <f t="shared" ca="1" si="0"/>
        <v>2.5156859999999952</v>
      </c>
      <c r="Q11" cm="1">
        <f t="array" ref="Q11">_xlfn.PERCENTRANK.EXC(_xlfn._xlws.FILTER(M$4:M$24, ISNUMBER(M$4:M$24)),M11)*100</f>
        <v>72.7</v>
      </c>
      <c r="R11" cm="1">
        <f t="array" aca="1" ref="R11" ca="1">_xlfn.PERCENTRANK.EXC(_xlfn._xlws.FILTER(P$4:P$24, ISNUMBER(P$4:P$24)),P11)*100</f>
        <v>86.3</v>
      </c>
      <c r="S11">
        <f ca="1">Q11*Assumption!$E$27 + R11*Assumption!$F$27</f>
        <v>78.14</v>
      </c>
      <c r="T11" cm="1">
        <f t="array" aca="1" ref="T11" ca="1">_xlfn.PERCENTRANK.EXC(_xlfn._xlws.FILTER(S$4:S$24, ISNUMBER(S$4:S$24)),S11)*100</f>
        <v>81.8</v>
      </c>
    </row>
    <row r="12" spans="1:28" x14ac:dyDescent="0.35">
      <c r="A12" t="s">
        <v>7</v>
      </c>
      <c r="B12" t="s">
        <v>53</v>
      </c>
      <c r="C12" t="s">
        <v>7</v>
      </c>
      <c r="D12" t="s">
        <v>762</v>
      </c>
      <c r="E12">
        <v>54.9</v>
      </c>
      <c r="F12">
        <v>3.1</v>
      </c>
      <c r="G12" t="s">
        <v>121</v>
      </c>
      <c r="H12" s="116" t="s">
        <v>764</v>
      </c>
      <c r="I12" s="117" t="s">
        <v>678</v>
      </c>
      <c r="J12" s="118" t="s">
        <v>53</v>
      </c>
      <c r="K12" s="118" t="s">
        <v>7</v>
      </c>
      <c r="L12" t="s">
        <v>762</v>
      </c>
      <c r="M12" cm="1">
        <f t="array" ref="M12">IF(_xll.FDSRC(,"DUMMY","ECON_EXPR_DATA('FDS_ECON["&amp;H12&amp;"]',,,M)")=0,$J$28,_xll.FDSRC(,"DUMMY","ECON_EXPR_DATA('FDS_ECON["&amp;H12&amp;"]',,,M)"))</f>
        <v>51.121383999999999</v>
      </c>
      <c r="N12" cm="1">
        <f t="array" aca="1" ref="N12" ca="1">_xll.FDSRC("-","DUMMY","ECON_EXPR_DATA('FDS_ECON["&amp;H12&amp;"]',"&amp;$N$3&amp;",,Q)")</f>
        <v>51.090342999999997</v>
      </c>
      <c r="O12" cm="1">
        <f t="array" aca="1" ref="O12" ca="1">_xll.FDSRC("-","DUMMY","ECON_EXPR_DATA('FDS_ECON["&amp;H12&amp;"]',"&amp;$O$3&amp;",,Q)")</f>
        <v>51.565502000000002</v>
      </c>
      <c r="P12">
        <f t="shared" ca="1" si="0"/>
        <v>-0.47515900000000499</v>
      </c>
      <c r="Q12" cm="1">
        <f t="array" ref="Q12">_xlfn.PERCENTRANK.EXC(_xlfn._xlws.FILTER(M$4:M$24, ISNUMBER(M$4:M$24)),M12)*100</f>
        <v>27.200000000000003</v>
      </c>
      <c r="R12" cm="1">
        <f t="array" aca="1" ref="R12" ca="1">_xlfn.PERCENTRANK.EXC(_xlfn._xlws.FILTER(P$4:P$24, ISNUMBER(P$4:P$24)),P12)*100</f>
        <v>22.7</v>
      </c>
      <c r="S12">
        <f ca="1">Q12*Assumption!$E$27 + R12*Assumption!$F$27</f>
        <v>25.4</v>
      </c>
      <c r="T12" cm="1">
        <f t="array" aca="1" ref="T12" ca="1">_xlfn.PERCENTRANK.EXC(_xlfn._xlws.FILTER(S$4:S$24, ISNUMBER(S$4:S$24)),S12)*100</f>
        <v>18.099999999999998</v>
      </c>
    </row>
    <row r="13" spans="1:28" x14ac:dyDescent="0.35">
      <c r="A13" t="s">
        <v>21</v>
      </c>
      <c r="B13" t="s">
        <v>38</v>
      </c>
      <c r="C13" t="s">
        <v>21</v>
      </c>
      <c r="D13" t="s">
        <v>762</v>
      </c>
      <c r="E13">
        <v>54.9</v>
      </c>
      <c r="F13">
        <v>3.1</v>
      </c>
      <c r="G13" t="s">
        <v>101</v>
      </c>
      <c r="H13" s="116" t="s">
        <v>768</v>
      </c>
      <c r="I13" s="117" t="s">
        <v>769</v>
      </c>
      <c r="J13" s="118" t="s">
        <v>38</v>
      </c>
      <c r="K13" s="118" t="s">
        <v>21</v>
      </c>
      <c r="L13" t="s">
        <v>762</v>
      </c>
      <c r="M13" cm="1">
        <f t="array" ref="M13">IF(_xll.FDSRC(,"DUMMY","ECON_EXPR_DATA('FDS_ECON["&amp;H13&amp;"]',,,M)")=0,$J$28,_xll.FDSRC(,"DUMMY","ECON_EXPR_DATA('FDS_ECON["&amp;H13&amp;"]',,,M)"))</f>
        <v>52.038800000000002</v>
      </c>
      <c r="N13" cm="1">
        <f t="array" aca="1" ref="N13" ca="1">_xll.FDSRC("-","DUMMY","ECON_EXPR_DATA('FDS_ECON["&amp;H13&amp;"]',"&amp;$N$3&amp;",,Q)")</f>
        <v>51.024430000000002</v>
      </c>
      <c r="O13" cm="1">
        <f t="array" aca="1" ref="O13" ca="1">_xll.FDSRC("-","DUMMY","ECON_EXPR_DATA('FDS_ECON["&amp;H13&amp;"]',"&amp;$O$3&amp;",,Q)")</f>
        <v>50.576219999999999</v>
      </c>
      <c r="P13">
        <f t="shared" ca="1" si="0"/>
        <v>0.44821000000000311</v>
      </c>
      <c r="Q13" cm="1">
        <f t="array" ref="Q13">_xlfn.PERCENTRANK.EXC(_xlfn._xlws.FILTER(M$4:M$24, ISNUMBER(M$4:M$24)),M13)*100</f>
        <v>50</v>
      </c>
      <c r="R13" cm="1">
        <f t="array" aca="1" ref="R13" ca="1">_xlfn.PERCENTRANK.EXC(_xlfn._xlws.FILTER(P$4:P$24, ISNUMBER(P$4:P$24)),P13)*100</f>
        <v>36.299999999999997</v>
      </c>
      <c r="S13">
        <f ca="1">Q13*Assumption!$E$27 + R13*Assumption!$F$27</f>
        <v>44.519999999999996</v>
      </c>
      <c r="T13" cm="1">
        <f t="array" aca="1" ref="T13" ca="1">_xlfn.PERCENTRANK.EXC(_xlfn._xlws.FILTER(S$4:S$24, ISNUMBER(S$4:S$24)),S13)*100</f>
        <v>31.8</v>
      </c>
    </row>
    <row r="14" spans="1:28" x14ac:dyDescent="0.35">
      <c r="A14" t="s">
        <v>12</v>
      </c>
      <c r="B14" t="s">
        <v>54</v>
      </c>
      <c r="C14" t="s">
        <v>12</v>
      </c>
      <c r="D14" t="s">
        <v>762</v>
      </c>
      <c r="E14">
        <v>51.8</v>
      </c>
      <c r="F14">
        <v>1.9</v>
      </c>
      <c r="G14" t="s">
        <v>127</v>
      </c>
      <c r="H14" s="116" t="s">
        <v>763</v>
      </c>
      <c r="I14" s="117" t="s">
        <v>603</v>
      </c>
      <c r="J14" s="118" t="s">
        <v>54</v>
      </c>
      <c r="K14" s="118" t="s">
        <v>12</v>
      </c>
      <c r="L14" t="s">
        <v>762</v>
      </c>
      <c r="M14" cm="1">
        <f t="array" ref="M14">IF(_xll.FDSRC(,"DUMMY","ECON_EXPR_DATA('FDS_ECON["&amp;H14&amp;"]',,,M)")=0,$J$28,_xll.FDSRC(,"DUMMY","ECON_EXPR_DATA('FDS_ECON["&amp;H14&amp;"]',,,M)"))</f>
        <v>52.508150000000001</v>
      </c>
      <c r="N14" cm="1">
        <f t="array" aca="1" ref="N14" ca="1">_xll.FDSRC("-","DUMMY","ECON_EXPR_DATA('FDS_ECON["&amp;H14&amp;"]',"&amp;$N$3&amp;",,Q)")</f>
        <v>53.488384000000003</v>
      </c>
      <c r="O14" cm="1">
        <f t="array" aca="1" ref="O14" ca="1">_xll.FDSRC("-","DUMMY","ECON_EXPR_DATA('FDS_ECON["&amp;H14&amp;"]',"&amp;$O$3&amp;",,Q)")</f>
        <v>53.509574999999998</v>
      </c>
      <c r="P14">
        <f t="shared" ca="1" si="0"/>
        <v>-2.1190999999994631E-2</v>
      </c>
      <c r="Q14" cm="1">
        <f t="array" ref="Q14">_xlfn.PERCENTRANK.EXC(_xlfn._xlws.FILTER(M$4:M$24, ISNUMBER(M$4:M$24)),M14)*100</f>
        <v>68.100000000000009</v>
      </c>
      <c r="R14" cm="1">
        <f t="array" aca="1" ref="R14" ca="1">_xlfn.PERCENTRANK.EXC(_xlfn._xlws.FILTER(P$4:P$24, ISNUMBER(P$4:P$24)),P14)*100</f>
        <v>31.8</v>
      </c>
      <c r="S14">
        <f ca="1">Q14*Assumption!$E$27 + R14*Assumption!$F$27</f>
        <v>53.580000000000005</v>
      </c>
      <c r="T14" cm="1">
        <f t="array" aca="1" ref="T14" ca="1">_xlfn.PERCENTRANK.EXC(_xlfn._xlws.FILTER(S$4:S$24, ISNUMBER(S$4:S$24)),S14)*100</f>
        <v>68.100000000000009</v>
      </c>
      <c r="AA14" s="1" t="s">
        <v>902</v>
      </c>
    </row>
    <row r="15" spans="1:28" x14ac:dyDescent="0.35">
      <c r="A15" t="s">
        <v>22</v>
      </c>
      <c r="B15" t="s">
        <v>442</v>
      </c>
      <c r="C15" t="s">
        <v>22</v>
      </c>
      <c r="D15" t="s">
        <v>762</v>
      </c>
      <c r="E15">
        <v>47.5</v>
      </c>
      <c r="F15">
        <v>1.1000000000000001</v>
      </c>
      <c r="G15" t="s">
        <v>99</v>
      </c>
      <c r="H15" s="116" t="s">
        <v>791</v>
      </c>
      <c r="I15" s="117" t="s">
        <v>713</v>
      </c>
      <c r="J15" s="118" t="s">
        <v>442</v>
      </c>
      <c r="K15" s="118" t="s">
        <v>22</v>
      </c>
      <c r="L15" t="s">
        <v>762</v>
      </c>
      <c r="M15" cm="1">
        <f t="array" ref="M15">IF(_xll.FDSRC(,"DUMMY","ECON_EXPR_DATA('FDS_ECON["&amp;H15&amp;"]',,,M)")=0,$J$28,_xll.FDSRC(,"DUMMY","ECON_EXPR_DATA('FDS_ECON["&amp;H15&amp;"]',,,M)"))</f>
        <v>49.242289999999997</v>
      </c>
      <c r="N15" cm="1">
        <f t="array" aca="1" ref="N15" ca="1">_xll.FDSRC("-","DUMMY","ECON_EXPR_DATA('FDS_ECON["&amp;H15&amp;"]',"&amp;$N$3&amp;",,Q)")</f>
        <v>49.992885999999999</v>
      </c>
      <c r="O15" cm="1">
        <f t="array" aca="1" ref="O15" ca="1">_xll.FDSRC("-","DUMMY","ECON_EXPR_DATA('FDS_ECON["&amp;H15&amp;"]',"&amp;$O$3&amp;",,Q)")</f>
        <v>49.458922999999999</v>
      </c>
      <c r="P15">
        <f t="shared" ca="1" si="0"/>
        <v>0.53396299999999997</v>
      </c>
      <c r="Q15" cm="1">
        <f t="array" ref="Q15">_xlfn.PERCENTRANK.EXC(_xlfn._xlws.FILTER(M$4:M$24, ISNUMBER(M$4:M$24)),M15)*100</f>
        <v>13.600000000000001</v>
      </c>
      <c r="R15" cm="1">
        <f t="array" aca="1" ref="R15" ca="1">_xlfn.PERCENTRANK.EXC(_xlfn._xlws.FILTER(P$4:P$24, ISNUMBER(P$4:P$24)),P15)*100</f>
        <v>54.500000000000007</v>
      </c>
      <c r="S15">
        <f ca="1">Q15*Assumption!$E$27 + R15*Assumption!$F$27</f>
        <v>29.960000000000004</v>
      </c>
      <c r="T15" cm="1">
        <f t="array" aca="1" ref="T15" ca="1">_xlfn.PERCENTRANK.EXC(_xlfn._xlws.FILTER(S$4:S$24, ISNUMBER(S$4:S$24)),S15)*100</f>
        <v>22.7</v>
      </c>
    </row>
    <row r="16" spans="1:28" x14ac:dyDescent="0.35">
      <c r="A16" t="s">
        <v>28</v>
      </c>
      <c r="B16" t="s">
        <v>443</v>
      </c>
      <c r="C16" t="s">
        <v>28</v>
      </c>
      <c r="D16" t="s">
        <v>762</v>
      </c>
      <c r="E16">
        <v>54.9</v>
      </c>
      <c r="F16">
        <v>3.1</v>
      </c>
      <c r="G16" t="s">
        <v>111</v>
      </c>
      <c r="H16" s="116" t="s">
        <v>772</v>
      </c>
      <c r="I16" s="117" t="s">
        <v>640</v>
      </c>
      <c r="J16" s="118" t="s">
        <v>443</v>
      </c>
      <c r="K16" s="118" t="s">
        <v>28</v>
      </c>
      <c r="L16" t="s">
        <v>762</v>
      </c>
      <c r="M16" cm="1">
        <f t="array" ref="M16">IF(_xll.FDSRC(,"DUMMY","ECON_EXPR_DATA('FDS_ECON["&amp;H16&amp;"]',,,M)")=0,$J$28,_xll.FDSRC(,"DUMMY","ECON_EXPR_DATA('FDS_ECON["&amp;H16&amp;"]',,,M)"))</f>
        <v>54.023083</v>
      </c>
      <c r="N16" cm="1">
        <f t="array" aca="1" ref="N16" ca="1">_xll.FDSRC("-","DUMMY","ECON_EXPR_DATA('FDS_ECON["&amp;H16&amp;"]',"&amp;$N$3&amp;",,Q)")</f>
        <v>54.690779999999997</v>
      </c>
      <c r="O16" cm="1">
        <f t="array" aca="1" ref="O16" ca="1">_xll.FDSRC("-","DUMMY","ECON_EXPR_DATA('FDS_ECON["&amp;H16&amp;"]',"&amp;$O$3&amp;",,Q)")</f>
        <v>55.775460000000002</v>
      </c>
      <c r="P16">
        <f t="shared" ca="1" si="0"/>
        <v>-1.0846800000000059</v>
      </c>
      <c r="Q16" cm="1">
        <f t="array" ref="Q16">_xlfn.PERCENTRANK.EXC(_xlfn._xlws.FILTER(M$4:M$24, ISNUMBER(M$4:M$24)),M16)*100</f>
        <v>77.2</v>
      </c>
      <c r="R16" cm="1">
        <f t="array" aca="1" ref="R16" ca="1">_xlfn.PERCENTRANK.EXC(_xlfn._xlws.FILTER(P$4:P$24, ISNUMBER(P$4:P$24)),P16)*100</f>
        <v>18.099999999999998</v>
      </c>
      <c r="S16">
        <f ca="1">Q16*Assumption!$E$27 + R16*Assumption!$F$27</f>
        <v>53.56</v>
      </c>
      <c r="T16" cm="1">
        <f t="array" aca="1" ref="T16" ca="1">_xlfn.PERCENTRANK.EXC(_xlfn._xlws.FILTER(S$4:S$24, ISNUMBER(S$4:S$24)),S16)*100</f>
        <v>63.6</v>
      </c>
      <c r="AB16" t="s">
        <v>896</v>
      </c>
    </row>
    <row r="17" spans="1:31" x14ac:dyDescent="0.35">
      <c r="A17" t="s">
        <v>32</v>
      </c>
      <c r="B17" t="s">
        <v>52</v>
      </c>
      <c r="C17" t="s">
        <v>32</v>
      </c>
      <c r="D17" t="s">
        <v>762</v>
      </c>
      <c r="E17">
        <v>61.6</v>
      </c>
      <c r="F17">
        <v>3.2</v>
      </c>
      <c r="G17" t="s">
        <v>118</v>
      </c>
      <c r="H17" s="116" t="s">
        <v>766</v>
      </c>
      <c r="I17" s="117" t="s">
        <v>650</v>
      </c>
      <c r="J17" s="118" t="s">
        <v>52</v>
      </c>
      <c r="K17" s="118" t="s">
        <v>32</v>
      </c>
      <c r="L17" t="s">
        <v>762</v>
      </c>
      <c r="M17" cm="1">
        <f t="array" ref="M17">IF(_xll.FDSRC(,"DUMMY","ECON_EXPR_DATA('FDS_ECON["&amp;H17&amp;"]',,,M)")=0,$J$28,_xll.FDSRC(,"DUMMY","ECON_EXPR_DATA('FDS_ECON["&amp;H17&amp;"]',,,M)"))</f>
        <v>58.348762999999998</v>
      </c>
      <c r="N17" cm="1">
        <f t="array" aca="1" ref="N17" ca="1">_xll.FDSRC("-","DUMMY","ECON_EXPR_DATA('FDS_ECON["&amp;H17&amp;"]',"&amp;$N$3&amp;",,Q)")</f>
        <v>58.243445999999999</v>
      </c>
      <c r="O17" cm="1">
        <f t="array" aca="1" ref="O17" ca="1">_xll.FDSRC("-","DUMMY","ECON_EXPR_DATA('FDS_ECON["&amp;H17&amp;"]',"&amp;$O$3&amp;",,Q)")</f>
        <v>57.516635999999998</v>
      </c>
      <c r="P17">
        <f t="shared" ca="1" si="0"/>
        <v>0.7268100000000004</v>
      </c>
      <c r="Q17" cm="1">
        <f t="array" ref="Q17">_xlfn.PERCENTRANK.EXC(_xlfn._xlws.FILTER(M$4:M$24, ISNUMBER(M$4:M$24)),M17)*100</f>
        <v>95.399999999999991</v>
      </c>
      <c r="R17" cm="1">
        <f t="array" aca="1" ref="R17" ca="1">_xlfn.PERCENTRANK.EXC(_xlfn._xlws.FILTER(P$4:P$24, ISNUMBER(P$4:P$24)),P17)*100</f>
        <v>72.7</v>
      </c>
      <c r="S17">
        <f ca="1">Q17*Assumption!$E$27 + R17*Assumption!$F$27</f>
        <v>86.32</v>
      </c>
      <c r="T17" cm="1">
        <f t="array" aca="1" ref="T17" ca="1">_xlfn.PERCENTRANK.EXC(_xlfn._xlws.FILTER(S$4:S$24, ISNUMBER(S$4:S$24)),S17)*100</f>
        <v>90.9</v>
      </c>
    </row>
    <row r="18" spans="1:31" x14ac:dyDescent="0.35">
      <c r="A18" t="s">
        <v>26</v>
      </c>
      <c r="B18" t="s">
        <v>41</v>
      </c>
      <c r="C18" t="s">
        <v>26</v>
      </c>
      <c r="D18" t="s">
        <v>762</v>
      </c>
      <c r="E18">
        <v>53.6</v>
      </c>
      <c r="F18">
        <v>2.4</v>
      </c>
      <c r="G18" t="s">
        <v>104</v>
      </c>
      <c r="H18" s="116" t="s">
        <v>765</v>
      </c>
      <c r="I18" s="117" t="s">
        <v>615</v>
      </c>
      <c r="J18" s="118" t="s">
        <v>41</v>
      </c>
      <c r="K18" s="118" t="s">
        <v>26</v>
      </c>
      <c r="L18" t="s">
        <v>762</v>
      </c>
      <c r="M18" cm="1">
        <f t="array" ref="M18">IF(_xll.FDSRC(,"DUMMY","ECON_EXPR_DATA('FDS_ECON["&amp;H18&amp;"]',,,M)")=0,$J$28,_xll.FDSRC(,"DUMMY","ECON_EXPR_DATA('FDS_ECON["&amp;H18&amp;"]',,,M)"))</f>
        <v>51.786630000000002</v>
      </c>
      <c r="N18" cm="1">
        <f t="array" aca="1" ref="N18" ca="1">_xll.FDSRC("-","DUMMY","ECON_EXPR_DATA('FDS_ECON["&amp;H18&amp;"]',"&amp;$N$3&amp;",,Q)")</f>
        <v>51.644539999999999</v>
      </c>
      <c r="O18" cm="1">
        <f t="array" aca="1" ref="O18" ca="1">_xll.FDSRC("-","DUMMY","ECON_EXPR_DATA('FDS_ECON["&amp;H18&amp;"]',"&amp;$O$3&amp;",,Q)")</f>
        <v>50.938282000000001</v>
      </c>
      <c r="P18">
        <f t="shared" ca="1" si="0"/>
        <v>0.70625799999999828</v>
      </c>
      <c r="Q18" cm="1">
        <f t="array" ref="Q18">_xlfn.PERCENTRANK.EXC(_xlfn._xlws.FILTER(M$4:M$24, ISNUMBER(M$4:M$24)),M18)*100</f>
        <v>40.9</v>
      </c>
      <c r="R18" cm="1">
        <f t="array" aca="1" ref="R18" ca="1">_xlfn.PERCENTRANK.EXC(_xlfn._xlws.FILTER(P$4:P$24, ISNUMBER(P$4:P$24)),P18)*100</f>
        <v>59</v>
      </c>
      <c r="S18">
        <f ca="1">Q18*Assumption!$E$27 + R18*Assumption!$F$27</f>
        <v>48.14</v>
      </c>
      <c r="T18" cm="1">
        <f t="array" aca="1" ref="T18" ca="1">_xlfn.PERCENTRANK.EXC(_xlfn._xlws.FILTER(S$4:S$24, ISNUMBER(S$4:S$24)),S18)*100</f>
        <v>36.299999999999997</v>
      </c>
      <c r="AB18" t="s">
        <v>780</v>
      </c>
      <c r="AC18" t="s">
        <v>897</v>
      </c>
      <c r="AE18" t="s">
        <v>503</v>
      </c>
    </row>
    <row r="19" spans="1:31" x14ac:dyDescent="0.35">
      <c r="A19" t="s">
        <v>31</v>
      </c>
      <c r="B19" t="s">
        <v>444</v>
      </c>
      <c r="C19" t="s">
        <v>31</v>
      </c>
      <c r="D19" t="s">
        <v>762</v>
      </c>
      <c r="E19">
        <v>56</v>
      </c>
      <c r="F19">
        <v>10.3</v>
      </c>
      <c r="G19" t="s">
        <v>120</v>
      </c>
      <c r="H19" s="116" t="s">
        <v>792</v>
      </c>
      <c r="I19" s="117" t="s">
        <v>702</v>
      </c>
      <c r="J19" s="118" t="s">
        <v>444</v>
      </c>
      <c r="K19" s="118" t="s">
        <v>31</v>
      </c>
      <c r="L19" t="s">
        <v>762</v>
      </c>
      <c r="M19" cm="1">
        <f t="array" ref="M19">IF(_xll.FDSRC(,"DUMMY","ECON_EXPR_DATA('FDS_ECON["&amp;H19&amp;"]',,,M)")=0,$J$28,_xll.FDSRC(,"DUMMY","ECON_EXPR_DATA('FDS_ECON["&amp;H19&amp;"]',,,M)"))</f>
        <v>55.907359999999997</v>
      </c>
      <c r="N19" cm="1">
        <f t="array" aca="1" ref="N19" ca="1">_xll.FDSRC("-","DUMMY","ECON_EXPR_DATA('FDS_ECON["&amp;H19&amp;"]',"&amp;$N$3&amp;",,Q)")</f>
        <v>53.838383</v>
      </c>
      <c r="O19" cm="1">
        <f t="array" aca="1" ref="O19" ca="1">_xll.FDSRC("-","DUMMY","ECON_EXPR_DATA('FDS_ECON["&amp;H19&amp;"]',"&amp;$O$3&amp;",,Q)")</f>
        <v>50.683044000000002</v>
      </c>
      <c r="P19">
        <f t="shared" ca="1" si="0"/>
        <v>3.1553389999999979</v>
      </c>
      <c r="Q19" cm="1">
        <f t="array" ref="Q19">_xlfn.PERCENTRANK.EXC(_xlfn._xlws.FILTER(M$4:M$24, ISNUMBER(M$4:M$24)),M19)*100</f>
        <v>90.9</v>
      </c>
      <c r="R19" cm="1">
        <f t="array" aca="1" ref="R19" ca="1">_xlfn.PERCENTRANK.EXC(_xlfn._xlws.FILTER(P$4:P$24, ISNUMBER(P$4:P$24)),P19)*100</f>
        <v>90.9</v>
      </c>
      <c r="S19">
        <f ca="1">Q19*Assumption!$E$27 + R19*Assumption!$F$27</f>
        <v>90.9</v>
      </c>
      <c r="T19" cm="1">
        <f t="array" aca="1" ref="T19" ca="1">_xlfn.PERCENTRANK.EXC(_xlfn._xlws.FILTER(S$4:S$24, ISNUMBER(S$4:S$24)),S19)*100</f>
        <v>95.399999999999991</v>
      </c>
      <c r="AB19" t="s">
        <v>898</v>
      </c>
      <c r="AC19" t="s">
        <v>899</v>
      </c>
      <c r="AE19">
        <v>100</v>
      </c>
    </row>
    <row r="20" spans="1:31" x14ac:dyDescent="0.35">
      <c r="A20" t="s">
        <v>434</v>
      </c>
      <c r="B20" t="s">
        <v>445</v>
      </c>
      <c r="C20" t="s">
        <v>434</v>
      </c>
      <c r="D20" t="s">
        <v>762</v>
      </c>
      <c r="E20">
        <v>54.9</v>
      </c>
      <c r="F20">
        <v>3.1</v>
      </c>
      <c r="G20" t="s">
        <v>220</v>
      </c>
      <c r="H20" s="116" t="s">
        <v>793</v>
      </c>
      <c r="I20" s="117" t="s">
        <v>723</v>
      </c>
      <c r="J20" s="118" t="s">
        <v>758</v>
      </c>
      <c r="K20" s="118" t="s">
        <v>757</v>
      </c>
      <c r="L20" t="s">
        <v>762</v>
      </c>
      <c r="M20" cm="1">
        <f t="array" ref="M20">IF(_xll.FDSRC(,"DUMMY","ECON_EXPR_DATA('FDS_ECON["&amp;H20&amp;"]',,,M)")=0,$J$28,_xll.FDSRC(,"DUMMY","ECON_EXPR_DATA('FDS_ECON["&amp;H20&amp;"]',,,M)"))</f>
        <v>51.747399999999999</v>
      </c>
      <c r="N20" cm="1">
        <f t="array" aca="1" ref="N20" ca="1">_xll.FDSRC("-","DUMMY","ECON_EXPR_DATA('FDS_ECON["&amp;H20&amp;"]',"&amp;$N$3&amp;",,Q)")</f>
        <v>50.221676000000002</v>
      </c>
      <c r="O20" cm="1">
        <f t="array" aca="1" ref="O20" ca="1">_xll.FDSRC("-","DUMMY","ECON_EXPR_DATA('FDS_ECON["&amp;H20&amp;"]',"&amp;$O$3&amp;",,Q)")</f>
        <v>47.043889999999998</v>
      </c>
      <c r="P20">
        <f t="shared" ca="1" si="0"/>
        <v>3.1777860000000047</v>
      </c>
      <c r="Q20" cm="1">
        <f t="array" ref="Q20">_xlfn.PERCENTRANK.EXC(_xlfn._xlws.FILTER(M$4:M$24, ISNUMBER(M$4:M$24)),M20)*100</f>
        <v>36.299999999999997</v>
      </c>
      <c r="R20" cm="1">
        <f t="array" aca="1" ref="R20" ca="1">_xlfn.PERCENTRANK.EXC(_xlfn._xlws.FILTER(P$4:P$24, ISNUMBER(P$4:P$24)),P20)*100</f>
        <v>95.399999999999991</v>
      </c>
      <c r="S20">
        <f ca="1">Q20*Assumption!$E$27 + R20*Assumption!$F$27</f>
        <v>59.94</v>
      </c>
      <c r="T20" cm="1">
        <f t="array" aca="1" ref="T20" ca="1">_xlfn.PERCENTRANK.EXC(_xlfn._xlws.FILTER(S$4:S$24, ISNUMBER(S$4:S$24)),S20)*100</f>
        <v>72.7</v>
      </c>
      <c r="AB20" t="s">
        <v>898</v>
      </c>
      <c r="AC20" t="s">
        <v>900</v>
      </c>
      <c r="AE20">
        <v>75</v>
      </c>
    </row>
    <row r="21" spans="1:31" x14ac:dyDescent="0.35">
      <c r="A21" t="s">
        <v>25</v>
      </c>
      <c r="B21" t="s">
        <v>446</v>
      </c>
      <c r="C21" t="s">
        <v>25</v>
      </c>
      <c r="D21" t="s">
        <v>762</v>
      </c>
      <c r="E21">
        <v>54.9</v>
      </c>
      <c r="F21">
        <v>3.1</v>
      </c>
      <c r="G21" t="s">
        <v>105</v>
      </c>
      <c r="H21" s="116" t="s">
        <v>774</v>
      </c>
      <c r="I21" s="117" t="s">
        <v>727</v>
      </c>
      <c r="J21" s="118" t="s">
        <v>446</v>
      </c>
      <c r="K21" s="118" t="s">
        <v>25</v>
      </c>
      <c r="L21" t="s">
        <v>762</v>
      </c>
      <c r="M21" cm="1">
        <f t="array" ref="M21">IF(_xll.FDSRC(,"DUMMY","ECON_EXPR_DATA('FDS_ECON["&amp;H21&amp;"]',,,M)")=0,$J$28,_xll.FDSRC(,"DUMMY","ECON_EXPR_DATA('FDS_ECON["&amp;H21&amp;"]',,,M)"))</f>
        <v>47.892850000000003</v>
      </c>
      <c r="N21" cm="1">
        <f t="array" aca="1" ref="N21" ca="1">_xll.FDSRC("-","DUMMY","ECON_EXPR_DATA('FDS_ECON["&amp;H21&amp;"]',"&amp;$N$3&amp;",,Q)")</f>
        <v>48.552419999999998</v>
      </c>
      <c r="O21" cm="1">
        <f t="array" aca="1" ref="O21" ca="1">_xll.FDSRC("-","DUMMY","ECON_EXPR_DATA('FDS_ECON["&amp;H21&amp;"]',"&amp;$O$3&amp;",,Q)")</f>
        <v>49.822453000000003</v>
      </c>
      <c r="P21">
        <f t="shared" ca="1" si="0"/>
        <v>-1.2700330000000051</v>
      </c>
      <c r="Q21" cm="1">
        <f t="array" ref="Q21">_xlfn.PERCENTRANK.EXC(_xlfn._xlws.FILTER(M$4:M$24, ISNUMBER(M$4:M$24)),M21)*100</f>
        <v>9</v>
      </c>
      <c r="R21" cm="1">
        <f t="array" aca="1" ref="R21" ca="1">_xlfn.PERCENTRANK.EXC(_xlfn._xlws.FILTER(P$4:P$24, ISNUMBER(P$4:P$24)),P21)*100</f>
        <v>13.600000000000001</v>
      </c>
      <c r="S21">
        <f ca="1">Q21*Assumption!$E$27 + R21*Assumption!$F$27</f>
        <v>10.84</v>
      </c>
      <c r="T21" cm="1">
        <f t="array" aca="1" ref="T21" ca="1">_xlfn.PERCENTRANK.EXC(_xlfn._xlws.FILTER(S$4:S$24, ISNUMBER(S$4:S$24)),S21)*100</f>
        <v>9</v>
      </c>
      <c r="AB21" t="s">
        <v>901</v>
      </c>
      <c r="AC21" t="s">
        <v>899</v>
      </c>
      <c r="AE21">
        <v>50</v>
      </c>
    </row>
    <row r="22" spans="1:31" x14ac:dyDescent="0.35">
      <c r="A22" t="s">
        <v>34</v>
      </c>
      <c r="B22" t="s">
        <v>447</v>
      </c>
      <c r="C22" t="s">
        <v>34</v>
      </c>
      <c r="D22" t="s">
        <v>762</v>
      </c>
      <c r="E22">
        <v>62.7</v>
      </c>
      <c r="F22">
        <v>3.8</v>
      </c>
      <c r="G22" t="s">
        <v>123</v>
      </c>
      <c r="H22" s="116" t="s">
        <v>783</v>
      </c>
      <c r="I22" s="117" t="s">
        <v>34</v>
      </c>
      <c r="J22" s="118" t="s">
        <v>447</v>
      </c>
      <c r="K22" s="118" t="s">
        <v>34</v>
      </c>
      <c r="L22" t="s">
        <v>762</v>
      </c>
      <c r="M22" cm="1">
        <f t="array" ref="M22">IF(_xll.FDSRC(,"DUMMY","ECON_EXPR_DATA('FDS_ECON["&amp;H22&amp;"]',,,M)")=0,$J$28,_xll.FDSRC(,"DUMMY","ECON_EXPR_DATA('FDS_ECON["&amp;H22&amp;"]',,,M)"))</f>
        <v>52.095469999999999</v>
      </c>
      <c r="N22" t="str" cm="1">
        <f t="array" aca="1" ref="N22" ca="1">_xll.FDSRC("-","DUMMY","ECON_EXPR_DATA('FDS_ECON["&amp;H22&amp;"]',"&amp;$N$3&amp;",,Q)")</f>
        <v>-</v>
      </c>
      <c r="O22" t="str" cm="1">
        <f t="array" aca="1" ref="O22" ca="1">_xll.FDSRC("-","DUMMY","ECON_EXPR_DATA('FDS_ECON["&amp;H22&amp;"]',"&amp;$O$3&amp;",,Q)")</f>
        <v>-</v>
      </c>
      <c r="P22">
        <f t="shared" ca="1" si="0"/>
        <v>0.50492099999999596</v>
      </c>
      <c r="Q22" cm="1">
        <f t="array" ref="Q22">_xlfn.PERCENTRANK.EXC(_xlfn._xlws.FILTER(M$4:M$24, ISNUMBER(M$4:M$24)),M22)*100</f>
        <v>54.500000000000007</v>
      </c>
      <c r="R22" cm="1">
        <f t="array" aca="1" ref="R22" ca="1">_xlfn.PERCENTRANK.EXC(_xlfn._xlws.FILTER(P$4:P$24, ISNUMBER(P$4:P$24)),P22)*100</f>
        <v>40.9</v>
      </c>
      <c r="S22">
        <f ca="1">Q22*Assumption!$E$27 + R22*Assumption!$F$27</f>
        <v>49.06</v>
      </c>
      <c r="T22" cm="1">
        <f t="array" aca="1" ref="T22" ca="1">_xlfn.PERCENTRANK.EXC(_xlfn._xlws.FILTER(S$4:S$24, ISNUMBER(S$4:S$24)),S22)*100</f>
        <v>45.4</v>
      </c>
      <c r="AB22" t="s">
        <v>901</v>
      </c>
      <c r="AC22" t="s">
        <v>900</v>
      </c>
      <c r="AE22">
        <v>25</v>
      </c>
    </row>
    <row r="23" spans="1:31" x14ac:dyDescent="0.35">
      <c r="A23" t="s">
        <v>37</v>
      </c>
      <c r="B23" t="s">
        <v>448</v>
      </c>
      <c r="C23" t="s">
        <v>37</v>
      </c>
      <c r="D23" t="s">
        <v>762</v>
      </c>
      <c r="E23">
        <v>54.9</v>
      </c>
      <c r="F23">
        <v>3.1</v>
      </c>
      <c r="G23" t="s">
        <v>126</v>
      </c>
      <c r="H23" s="116" t="s">
        <v>771</v>
      </c>
      <c r="I23" s="117" t="s">
        <v>736</v>
      </c>
      <c r="J23" s="118" t="s">
        <v>448</v>
      </c>
      <c r="K23" s="118" t="s">
        <v>37</v>
      </c>
      <c r="L23" t="s">
        <v>762</v>
      </c>
      <c r="M23" cm="1">
        <f t="array" ref="M23">IF(_xll.FDSRC(,"DUMMY","ECON_EXPR_DATA('FDS_ECON["&amp;H23&amp;"]',,,M)")=0,$J$28,_xll.FDSRC(,"DUMMY","ECON_EXPR_DATA('FDS_ECON["&amp;H23&amp;"]',,,M)"))</f>
        <v>54.718240000000002</v>
      </c>
      <c r="N23" cm="1">
        <f t="array" aca="1" ref="N23" ca="1">_xll.FDSRC("-","DUMMY","ECON_EXPR_DATA('FDS_ECON["&amp;H23&amp;"]',"&amp;$N$3&amp;",,Q)")</f>
        <v>51.776978</v>
      </c>
      <c r="O23" cm="1">
        <f t="array" aca="1" ref="O23" ca="1">_xll.FDSRC("-","DUMMY","ECON_EXPR_DATA('FDS_ECON["&amp;H23&amp;"]',"&amp;$O$3&amp;",,Q)")</f>
        <v>50.18627</v>
      </c>
      <c r="P23">
        <f t="shared" ca="1" si="0"/>
        <v>1.5907079999999993</v>
      </c>
      <c r="Q23" cm="1">
        <f t="array" ref="Q23">_xlfn.PERCENTRANK.EXC(_xlfn._xlws.FILTER(M$4:M$24, ISNUMBER(M$4:M$24)),M23)*100</f>
        <v>81.8</v>
      </c>
      <c r="R23" cm="1">
        <f t="array" aca="1" ref="R23" ca="1">_xlfn.PERCENTRANK.EXC(_xlfn._xlws.FILTER(P$4:P$24, ISNUMBER(P$4:P$24)),P23)*100</f>
        <v>81.8</v>
      </c>
      <c r="S23">
        <f ca="1">Q23*Assumption!$E$27 + R23*Assumption!$F$27</f>
        <v>81.8</v>
      </c>
      <c r="T23" cm="1">
        <f t="array" aca="1" ref="T23" ca="1">_xlfn.PERCENTRANK.EXC(_xlfn._xlws.FILTER(S$4:S$24, ISNUMBER(S$4:S$24)),S23)*100</f>
        <v>86.3</v>
      </c>
    </row>
    <row r="24" spans="1:31" x14ac:dyDescent="0.35">
      <c r="A24" t="s">
        <v>36</v>
      </c>
      <c r="B24" t="s">
        <v>449</v>
      </c>
      <c r="C24" t="s">
        <v>36</v>
      </c>
      <c r="D24" t="s">
        <v>762</v>
      </c>
      <c r="E24">
        <v>64.400000000000006</v>
      </c>
      <c r="F24">
        <v>0.8</v>
      </c>
      <c r="G24" t="s">
        <v>125</v>
      </c>
      <c r="H24" s="116" t="s">
        <v>794</v>
      </c>
      <c r="I24" s="117" t="s">
        <v>706</v>
      </c>
      <c r="J24" s="118" t="s">
        <v>449</v>
      </c>
      <c r="K24" s="118" t="s">
        <v>36</v>
      </c>
      <c r="L24" t="s">
        <v>762</v>
      </c>
      <c r="M24" cm="1">
        <f t="array" ref="M24">IF(_xll.FDSRC(,"DUMMY","ECON_EXPR_DATA('FDS_ECON["&amp;H24&amp;"]',,,M)")=0,$J$28,_xll.FDSRC(,"DUMMY","ECON_EXPR_DATA('FDS_ECON["&amp;H24&amp;"]',,,M)"))</f>
        <v>55.005290000000002</v>
      </c>
      <c r="N24" cm="1">
        <f t="array" aca="1" ref="N24" ca="1">_xll.FDSRC("-","DUMMY","ECON_EXPR_DATA('FDS_ECON["&amp;H24&amp;"]',"&amp;$N$3&amp;",,Q)")</f>
        <v>56.147419999999997</v>
      </c>
      <c r="O24" cm="1">
        <f t="array" aca="1" ref="O24" ca="1">_xll.FDSRC("-","DUMMY","ECON_EXPR_DATA('FDS_ECON["&amp;H24&amp;"]',"&amp;$O$3&amp;",,Q)")</f>
        <v>56.53707</v>
      </c>
      <c r="P24">
        <f t="shared" ca="1" si="0"/>
        <v>-0.38965000000000316</v>
      </c>
      <c r="Q24" cm="1">
        <f t="array" ref="Q24">_xlfn.PERCENTRANK.EXC(_xlfn._xlws.FILTER(M$4:M$24, ISNUMBER(M$4:M$24)),M24)*100</f>
        <v>86.3</v>
      </c>
      <c r="R24" cm="1">
        <f t="array" aca="1" ref="R24" ca="1">_xlfn.PERCENTRANK.EXC(_xlfn._xlws.FILTER(P$4:P$24, ISNUMBER(P$4:P$24)),P24)*100</f>
        <v>27.200000000000003</v>
      </c>
      <c r="S24">
        <f ca="1">Q24*Assumption!$E$27 + R24*Assumption!$F$27</f>
        <v>62.66</v>
      </c>
      <c r="T24" cm="1">
        <f t="array" aca="1" ref="T24" ca="1">_xlfn.PERCENTRANK.EXC(_xlfn._xlws.FILTER(S$4:S$24, ISNUMBER(S$4:S$24)),S24)*100</f>
        <v>77.2</v>
      </c>
    </row>
    <row r="26" spans="1:31" x14ac:dyDescent="0.35">
      <c r="K26" t="str" cm="1">
        <f t="array" aca="1" ref="K26" ca="1">_xll.FDSRC("-","DUMMY","ECON_DATE("&amp;$L$1&amp;",,, 'MM/YYYY')")</f>
        <v>06/2024</v>
      </c>
      <c r="L26" t="str" cm="1">
        <f t="array" aca="1" ref="L26" ca="1">_xll.FDSRC("-","DUMMY","ECON_DATE("&amp;$L$2&amp;",,, 'MM/YYYY')")</f>
        <v>03/2024</v>
      </c>
      <c r="M26" t="s">
        <v>797</v>
      </c>
    </row>
    <row r="27" spans="1:31" x14ac:dyDescent="0.35">
      <c r="H27" s="116" t="s">
        <v>775</v>
      </c>
      <c r="I27" s="116" t="s">
        <v>776</v>
      </c>
      <c r="J27" cm="1">
        <f t="array" ref="J27">IF(_xll.FDSRC("-","DUMMY","ECON_EXPR_DATA('FDS_ECON["&amp;H27&amp;"]',,,M)")="-",$K$27,_xll.FDSRC("-","DUMMY","ECON_EXPR_DATA('FDS_ECON["&amp;H27&amp;"]',,,M)"))</f>
        <v>49.659244999999999</v>
      </c>
      <c r="K27" cm="1">
        <f t="array" aca="1" ref="K27" ca="1">_xll.FDSRC("-","DUMMY","ECON_EXPR_DATA('FDS_ECON["&amp;H27&amp;"]',"&amp;$K$26&amp;",,Q)")</f>
        <v>49.418430000000001</v>
      </c>
      <c r="L27" cm="1">
        <f t="array" aca="1" ref="L27" ca="1">_xll.FDSRC("-","DUMMY","ECON_EXPR_DATA('FDS_ECON["&amp;H27&amp;"]',"&amp;$L$26&amp;",,Q)")</f>
        <v>49.135437000000003</v>
      </c>
      <c r="M27">
        <f ca="1">K27-L27</f>
        <v>0.28299299999999761</v>
      </c>
    </row>
    <row r="28" spans="1:31" x14ac:dyDescent="0.35">
      <c r="H28" s="116" t="s">
        <v>777</v>
      </c>
      <c r="I28" s="116" t="s">
        <v>778</v>
      </c>
      <c r="J28" cm="1">
        <f t="array" ref="J28">IF(_xll.FDSRC("-","DUMMY","ECON_EXPR_DATA('FDS_ECON["&amp;H28&amp;"]',,,M)")="-",$K$28,_xll.FDSRC("-","DUMMY","ECON_EXPR_DATA('FDS_ECON["&amp;H28&amp;"]',,,M)"))</f>
        <v>52.095469999999999</v>
      </c>
      <c r="K28" cm="1">
        <f t="array" aca="1" ref="K28" ca="1">_xll.FDSRC("-","DUMMY","ECON_EXPR_DATA('FDS_ECON["&amp;H28&amp;"]',"&amp;$K$26&amp;",,Q)")</f>
        <v>52.017085999999999</v>
      </c>
      <c r="L28" cm="1">
        <f t="array" aca="1" ref="L28" ca="1">_xll.FDSRC("-","DUMMY","ECON_EXPR_DATA('FDS_ECON["&amp;H28&amp;"]',"&amp;$L$26&amp;",,Q)")</f>
        <v>51.512165000000003</v>
      </c>
      <c r="M28">
        <f ca="1">K28-L28</f>
        <v>0.50492099999999596</v>
      </c>
    </row>
  </sheetData>
  <hyperlinks>
    <hyperlink ref="H15" r:id="rId1" xr:uid="{6D396D60-C22A-444B-AC80-A6C82D2B9EAD}"/>
    <hyperlink ref="H24" r:id="rId2" xr:uid="{9A9BD8AA-4007-4F97-AC85-D0B6E1F24652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D34B6-486A-4E0E-9818-F32B844CF5DC}">
  <dimension ref="A1:G33"/>
  <sheetViews>
    <sheetView workbookViewId="0">
      <selection activeCell="J15" sqref="J15"/>
    </sheetView>
  </sheetViews>
  <sheetFormatPr defaultRowHeight="14.5" x14ac:dyDescent="0.35"/>
  <cols>
    <col min="1" max="1" width="14.1796875" customWidth="1"/>
    <col min="2" max="2" width="34.453125" bestFit="1" customWidth="1"/>
    <col min="3" max="3" width="9.54296875" bestFit="1" customWidth="1"/>
    <col min="4" max="4" width="15.453125" customWidth="1"/>
    <col min="5" max="5" width="17.54296875" customWidth="1"/>
    <col min="6" max="6" width="19.453125" customWidth="1"/>
    <col min="7" max="7" width="18" customWidth="1"/>
  </cols>
  <sheetData>
    <row r="1" spans="1:7" x14ac:dyDescent="0.35">
      <c r="A1" t="s">
        <v>753</v>
      </c>
      <c r="B1" t="s">
        <v>530</v>
      </c>
      <c r="C1" t="s">
        <v>846</v>
      </c>
      <c r="D1" t="s">
        <v>883</v>
      </c>
      <c r="E1" t="s">
        <v>574</v>
      </c>
      <c r="F1" t="s">
        <v>884</v>
      </c>
      <c r="G1" t="s">
        <v>885</v>
      </c>
    </row>
    <row r="2" spans="1:7" x14ac:dyDescent="0.35">
      <c r="A2" t="s">
        <v>177</v>
      </c>
      <c r="B2" t="s">
        <v>435</v>
      </c>
      <c r="C2" t="s">
        <v>432</v>
      </c>
      <c r="D2" s="158" cm="1">
        <f t="array" ref="D2">_xll.FDS(C2,"FREF_MARKET_VALUE_COMPANY(0,,,USD,,0,,""LEGACY"")")</f>
        <v>271.74</v>
      </c>
      <c r="E2" t="s">
        <v>615</v>
      </c>
      <c r="F2" t="str">
        <f>_xlfn.CONCAT("FC0000",RIGHT(A2,2))</f>
        <v>FC0000CN</v>
      </c>
      <c r="G2" s="153" cm="1">
        <f t="array" ref="G2">_xll.FDSZ(F2,"FMA_MCAP(0,,,USD,""PORTAGG"")")</f>
        <v>7053963.5</v>
      </c>
    </row>
    <row r="3" spans="1:7" x14ac:dyDescent="0.35">
      <c r="A3" t="s">
        <v>294</v>
      </c>
      <c r="B3" t="s">
        <v>436</v>
      </c>
      <c r="C3" t="s">
        <v>27</v>
      </c>
      <c r="D3" s="158" cm="1">
        <f t="array" ref="D3">_xll.FDS(C3,"FREF_MARKET_VALUE_COMPANY(0,,,USD,,0,,""LEGACY"")")</f>
        <v>536.60799999999995</v>
      </c>
      <c r="E3" t="s">
        <v>614</v>
      </c>
      <c r="F3" t="str">
        <f t="shared" ref="F3:F17" si="0">_xlfn.CONCAT("FC0000",RIGHT(A3,2))</f>
        <v>FC0000CL</v>
      </c>
      <c r="G3" s="153" cm="1">
        <f t="array" ref="G3">_xll.FDSZ(F3,"FMA_MCAP(0,,,USD,""PORTAGG"")")</f>
        <v>142746.32999999999</v>
      </c>
    </row>
    <row r="4" spans="1:7" x14ac:dyDescent="0.35">
      <c r="A4" t="s">
        <v>187</v>
      </c>
      <c r="B4" t="s">
        <v>437</v>
      </c>
      <c r="C4" t="s">
        <v>35</v>
      </c>
      <c r="D4" s="158" cm="1">
        <f t="array" ref="D4">_xll.FDS(C4,"FREF_MARKET_VALUE_COMPANY(0,,,USD,,0,,""LEGACY"")")</f>
        <v>327.07799999999997</v>
      </c>
      <c r="E4" t="s">
        <v>651</v>
      </c>
      <c r="F4" t="str">
        <f t="shared" si="0"/>
        <v>FC0000ID</v>
      </c>
      <c r="G4" s="153" cm="1">
        <f t="array" ref="G4">_xll.FDSZ(F4,"FMA_MCAP(0,,,USD,""PORTAGG"")")</f>
        <v>675296.44</v>
      </c>
    </row>
    <row r="5" spans="1:7" x14ac:dyDescent="0.35">
      <c r="A5" t="s">
        <v>205</v>
      </c>
      <c r="B5" t="s">
        <v>438</v>
      </c>
      <c r="C5" t="s">
        <v>30</v>
      </c>
      <c r="D5" s="158" cm="1">
        <f t="array" ref="D5">_xll.FDS(C5,"FREF_MARKET_VALUE_COMPANY(0,,,USD,,0,,""LEGACY"")")</f>
        <v>97.165999999999997</v>
      </c>
      <c r="E5" t="s">
        <v>699</v>
      </c>
      <c r="F5" t="str">
        <f t="shared" si="0"/>
        <v>FC0000PH</v>
      </c>
      <c r="G5" s="153" cm="1">
        <f t="array" ref="G5">_xll.FDSZ(F5,"FMA_MCAP(0,,,USD,""PORTAGG"")")</f>
        <v>212672.06</v>
      </c>
    </row>
    <row r="6" spans="1:7" x14ac:dyDescent="0.35">
      <c r="A6" t="s">
        <v>257</v>
      </c>
      <c r="B6" t="s">
        <v>439</v>
      </c>
      <c r="C6" t="s">
        <v>23</v>
      </c>
      <c r="D6" s="158" cm="1">
        <f t="array" ref="D6">_xll.FDS(C6,"FREF_MARKET_VALUE_COMPANY(0,,,USD,,0,,""LEGACY"")")</f>
        <v>342.67950000000002</v>
      </c>
      <c r="E6" t="s">
        <v>700</v>
      </c>
      <c r="F6" t="str">
        <f t="shared" si="0"/>
        <v>FC0000PL</v>
      </c>
      <c r="G6" s="153" cm="1">
        <f t="array" ref="G6">_xll.FDSZ(F6,"FMA_MCAP(0,,,USD,""PORTAGG"")")</f>
        <v>208133.77</v>
      </c>
    </row>
    <row r="7" spans="1:7" x14ac:dyDescent="0.35">
      <c r="A7" t="s">
        <v>304</v>
      </c>
      <c r="B7" t="s">
        <v>440</v>
      </c>
      <c r="C7" t="s">
        <v>29</v>
      </c>
      <c r="D7" s="158" cm="1">
        <f t="array" ref="D7">_xll.FDS(C7,"FREF_MARKET_VALUE_COMPANY(0,,,USD,,0,,""LEGACY"")")</f>
        <v>123.06</v>
      </c>
      <c r="E7" t="s">
        <v>698</v>
      </c>
      <c r="F7" t="str">
        <f t="shared" si="0"/>
        <v>FC0000PE</v>
      </c>
      <c r="G7" s="153" cm="1">
        <f t="array" ref="G7">_xll.FDSZ(F7,"FMA_MCAP(0,,,USD,""PORTAGG"")")</f>
        <v>37386.44</v>
      </c>
    </row>
    <row r="8" spans="1:7" x14ac:dyDescent="0.35">
      <c r="A8" t="s">
        <v>194</v>
      </c>
      <c r="B8" t="s">
        <v>441</v>
      </c>
      <c r="C8" t="s">
        <v>33</v>
      </c>
      <c r="D8" s="158" cm="1">
        <f t="array" ref="D8">_xll.FDS(C8,"FREF_MARKET_VALUE_COMPANY(0,,,USD,,0,,""LEGACY"")")</f>
        <v>289.83600000000001</v>
      </c>
      <c r="E8" t="s">
        <v>673</v>
      </c>
      <c r="F8" t="str">
        <f t="shared" si="0"/>
        <v>FC0000MY</v>
      </c>
      <c r="G8" s="153" cm="1">
        <f t="array" ref="G8">_xll.FDSZ(F8,"FMA_MCAP(0,,,USD,""PORTAGG"")")</f>
        <v>412174.94</v>
      </c>
    </row>
    <row r="9" spans="1:7" x14ac:dyDescent="0.35">
      <c r="A9" t="s">
        <v>217</v>
      </c>
      <c r="B9" t="s">
        <v>40</v>
      </c>
      <c r="C9" t="s">
        <v>24</v>
      </c>
      <c r="D9" s="158" cm="1">
        <f t="array" ref="D9">_xll.FDS(C9,"FREF_MARKET_VALUE_COMPANY(0,,,USD,,0,,""LEGACY"")")</f>
        <v>5170.5219999999999</v>
      </c>
      <c r="E9" t="s">
        <v>720</v>
      </c>
      <c r="F9" t="str">
        <f t="shared" si="0"/>
        <v>FC0000TW</v>
      </c>
      <c r="G9" s="153" cm="1">
        <f t="array" ref="G9">_xll.FDSZ(F9,"FMA_MCAP(0,,,USD,""PORTAGG"")")</f>
        <v>2429504.2999999998</v>
      </c>
    </row>
    <row r="10" spans="1:7" x14ac:dyDescent="0.35">
      <c r="A10" t="s">
        <v>301</v>
      </c>
      <c r="B10" t="s">
        <v>53</v>
      </c>
      <c r="C10" t="s">
        <v>7</v>
      </c>
      <c r="D10" s="158" cm="1">
        <f t="array" ref="D10">_xll.FDS(C10,"FREF_MARKET_VALUE_COMPANY(0,,,USD,,0,,""LEGACY"")")</f>
        <v>1669.8150000000001</v>
      </c>
      <c r="E10" t="s">
        <v>678</v>
      </c>
      <c r="F10" t="str">
        <f t="shared" si="0"/>
        <v>FC0000MX</v>
      </c>
      <c r="G10" s="153" cm="1">
        <f t="array" ref="G10">_xll.FDSZ(F10,"FMA_MCAP(0,,,USD,""PORTAGG"")")</f>
        <v>472243.47</v>
      </c>
    </row>
    <row r="11" spans="1:7" x14ac:dyDescent="0.35">
      <c r="A11" t="s">
        <v>210</v>
      </c>
      <c r="B11" t="s">
        <v>38</v>
      </c>
      <c r="C11" t="s">
        <v>21</v>
      </c>
      <c r="D11" s="158" cm="1">
        <f t="array" ref="D11">_xll.FDS(C11,"FREF_MARKET_VALUE_COMPANY(0,,,USD,,0,,""LEGACY"")")</f>
        <v>5456.4894999999997</v>
      </c>
      <c r="E11" t="s">
        <v>660</v>
      </c>
      <c r="F11" t="str">
        <f t="shared" si="0"/>
        <v>FC0000KR</v>
      </c>
      <c r="G11" s="153" cm="1">
        <f t="array" ref="G11">_xll.FDSZ(F11,"FMA_MCAP(0,,,USD,""PORTAGG"")")</f>
        <v>1906839.3</v>
      </c>
    </row>
    <row r="12" spans="1:7" x14ac:dyDescent="0.35">
      <c r="A12" t="s">
        <v>291</v>
      </c>
      <c r="B12" t="s">
        <v>54</v>
      </c>
      <c r="C12" t="s">
        <v>12</v>
      </c>
      <c r="D12" s="158" cm="1">
        <f t="array" ref="D12">_xll.FDS(C12,"FREF_MARKET_VALUE_COMPANY(0,,,USD,,0,,""LEGACY"")")</f>
        <v>4363.8</v>
      </c>
      <c r="E12" t="s">
        <v>603</v>
      </c>
      <c r="F12" t="str">
        <f t="shared" si="0"/>
        <v>FC0000BR</v>
      </c>
      <c r="G12" s="153" cm="1">
        <f t="array" ref="G12">_xll.FDSZ(F12,"FMA_MCAP(0,,,USD,""PORTAGG"")")</f>
        <v>681987.44</v>
      </c>
    </row>
    <row r="13" spans="1:7" x14ac:dyDescent="0.35">
      <c r="A13" t="s">
        <v>366</v>
      </c>
      <c r="B13" t="s">
        <v>442</v>
      </c>
      <c r="C13" t="s">
        <v>22</v>
      </c>
      <c r="D13" s="158" cm="1">
        <f t="array" ref="D13">_xll.FDS(C13,"FREF_MARKET_VALUE_COMPANY(0,,,USD,,0,,""LEGACY"")")</f>
        <v>272.601</v>
      </c>
      <c r="E13" t="s">
        <v>713</v>
      </c>
      <c r="F13" t="str">
        <f t="shared" si="0"/>
        <v>FC0000ZA</v>
      </c>
      <c r="G13" s="153" cm="1">
        <f t="array" ref="G13">_xll.FDSZ(F13,"FMA_MCAP(0,,,USD,""PORTAGG"")")</f>
        <v>326505.71999999997</v>
      </c>
    </row>
    <row r="14" spans="1:7" x14ac:dyDescent="0.35">
      <c r="A14" t="s">
        <v>498</v>
      </c>
      <c r="B14" t="s">
        <v>443</v>
      </c>
      <c r="C14" t="s">
        <v>28</v>
      </c>
      <c r="D14" s="158" cm="1">
        <f t="array" ref="D14">_xll.FDS(C14,"FREF_MARKET_VALUE_COMPANY(0,,,USD,,0,,""LEGACY"")")</f>
        <v>205.272727436</v>
      </c>
      <c r="E14" t="s">
        <v>640</v>
      </c>
      <c r="F14" t="str">
        <f t="shared" si="0"/>
        <v>FC0000GR</v>
      </c>
      <c r="G14" s="153" cm="1">
        <f t="array" ref="G14">_xll.FDSZ(F14,"FMA_MCAP(0,,,USD,""PORTAGG"")")</f>
        <v>85036.01</v>
      </c>
    </row>
    <row r="15" spans="1:7" x14ac:dyDescent="0.35">
      <c r="A15" t="s">
        <v>184</v>
      </c>
      <c r="B15" t="s">
        <v>52</v>
      </c>
      <c r="C15" t="s">
        <v>32</v>
      </c>
      <c r="D15" s="158" cm="1">
        <f t="array" ref="D15">_xll.FDS(C15,"FREF_MARKET_VALUE_COMPANY(0,,,USD,,0,,""LEGACY"")")</f>
        <v>11314.652</v>
      </c>
      <c r="E15" t="s">
        <v>650</v>
      </c>
      <c r="F15" t="str">
        <f t="shared" si="0"/>
        <v>FC0000IN</v>
      </c>
      <c r="G15" s="153" cm="1">
        <f t="array" ref="G15">_xll.FDSZ(F15,"FMA_MCAP(0,,,USD,""PORTAGG"")")</f>
        <v>5265089</v>
      </c>
    </row>
    <row r="16" spans="1:7" x14ac:dyDescent="0.35">
      <c r="A16" t="s">
        <v>177</v>
      </c>
      <c r="B16" t="s">
        <v>41</v>
      </c>
      <c r="C16" t="s">
        <v>26</v>
      </c>
      <c r="D16" s="158" cm="1">
        <f t="array" ref="D16">_xll.FDS(C16,"FREF_MARKET_VALUE_COMPANY(0,,,USD,,0,,""LEGACY"")")</f>
        <v>5412.1760000000004</v>
      </c>
      <c r="E16" t="s">
        <v>615</v>
      </c>
      <c r="F16" t="str">
        <f t="shared" si="0"/>
        <v>FC0000CN</v>
      </c>
      <c r="G16" s="153" cm="1">
        <f t="array" ref="G16">_xll.FDSZ(F16,"FMA_MCAP(0,,,USD,""PORTAGG"")")</f>
        <v>7053963.5</v>
      </c>
    </row>
    <row r="17" spans="1:7" x14ac:dyDescent="0.35">
      <c r="A17" t="s">
        <v>360</v>
      </c>
      <c r="B17" t="s">
        <v>444</v>
      </c>
      <c r="C17" t="s">
        <v>31</v>
      </c>
      <c r="D17" s="158" cm="1">
        <f t="array" ref="D17">_xll.FDS(C17,"FREF_MARKET_VALUE_COMPANY(0,,,USD,,0,,""LEGACY"")")</f>
        <v>63.5625</v>
      </c>
      <c r="E17" t="s">
        <v>702</v>
      </c>
      <c r="F17" t="str">
        <f t="shared" si="0"/>
        <v>FC0000QA</v>
      </c>
      <c r="G17" s="153" cm="1">
        <f t="array" ref="G17">_xll.FDSZ(F17,"FMA_MCAP(0,,,USD,""PORTAGG"")")</f>
        <v>158718.54999999999</v>
      </c>
    </row>
    <row r="18" spans="1:7" x14ac:dyDescent="0.35">
      <c r="A18" t="s">
        <v>221</v>
      </c>
      <c r="B18" t="s">
        <v>758</v>
      </c>
      <c r="C18" t="s">
        <v>757</v>
      </c>
      <c r="D18" s="158" cm="1">
        <f t="array" ref="D18">_xll.FDS(C18,"FG_MCAP_IDX(0,,,USD)")</f>
        <v>448963.45812837902</v>
      </c>
      <c r="E18" t="s">
        <v>723</v>
      </c>
      <c r="F18" t="s">
        <v>757</v>
      </c>
      <c r="G18" s="153" cm="1">
        <f t="array" ref="G18">_xll.FDSZ(F18,"FMA_MCAP(0,,,USD,""PORTAGG"")")</f>
        <v>448963.45812837902</v>
      </c>
    </row>
    <row r="19" spans="1:7" x14ac:dyDescent="0.35">
      <c r="A19" t="s">
        <v>279</v>
      </c>
      <c r="B19" t="s">
        <v>446</v>
      </c>
      <c r="C19" t="s">
        <v>25</v>
      </c>
      <c r="D19" s="158" cm="1">
        <f t="array" ref="D19">_xll.FDS(C19,"FREF_MARKET_VALUE_COMPANY(0,,,USD,,0,,""LEGACY"")")</f>
        <v>251.44749999999999</v>
      </c>
      <c r="E19" t="s">
        <v>727</v>
      </c>
      <c r="F19" t="str">
        <f t="shared" ref="F19:F20" si="1">_xlfn.CONCAT("FC0000",RIGHT(A19,2))</f>
        <v>FC0000TR</v>
      </c>
      <c r="G19" s="153" cm="1">
        <f t="array" ref="G19">_xll.FDSZ(F19,"FMA_MCAP(0,,,USD,""PORTAGG"")")</f>
        <v>419263.34</v>
      </c>
    </row>
    <row r="20" spans="1:7" x14ac:dyDescent="0.35">
      <c r="A20" t="s">
        <v>373</v>
      </c>
      <c r="B20" t="s">
        <v>447</v>
      </c>
      <c r="C20" t="s">
        <v>34</v>
      </c>
      <c r="D20" s="158" cm="1">
        <f t="array" ref="D20">_xll.FDS(C20,"FREF_MARKET_VALUE_COMPANY(0,,,USD,,0,,""LEGACY"")")</f>
        <v>34.247999999999998</v>
      </c>
      <c r="E20" t="s">
        <v>731</v>
      </c>
      <c r="F20" t="str">
        <f t="shared" si="1"/>
        <v>FC0000AE</v>
      </c>
      <c r="G20" s="153" cm="1">
        <f t="array" ref="G20">_xll.FDSZ(F20,"FMA_MCAP(0,,,USD,""PORTAGG"")")</f>
        <v>876198.5</v>
      </c>
    </row>
    <row r="21" spans="1:7" x14ac:dyDescent="0.35">
      <c r="A21" t="s">
        <v>224</v>
      </c>
      <c r="B21" t="s">
        <v>448</v>
      </c>
      <c r="C21" t="s">
        <v>37</v>
      </c>
      <c r="D21" s="158" cm="1">
        <f t="array" ref="D21">_xll.FDS(C21,"FREF_MARKET_VALUE_COMPANY(0,,,USD,,0,,""LEGACY"")")</f>
        <v>485.61500000000001</v>
      </c>
      <c r="E21" t="s">
        <v>736</v>
      </c>
      <c r="F21" t="s">
        <v>881</v>
      </c>
      <c r="G21" s="153" cm="1">
        <f t="array" ref="G21">_xll.FDSZ(F21,"FMA_MCAP(0,,,USD,""PORTAGG"")")</f>
        <v>23454.447982999998</v>
      </c>
    </row>
    <row r="22" spans="1:7" x14ac:dyDescent="0.35">
      <c r="A22" t="s">
        <v>363</v>
      </c>
      <c r="B22" t="s">
        <v>449</v>
      </c>
      <c r="C22" t="s">
        <v>36</v>
      </c>
      <c r="D22" s="158" cm="1">
        <f t="array" ref="D22">_xll.FDS(C22,"FREF_MARKET_VALUE_COMPANY(0,,,USD,,0,,""LEGACY"")")</f>
        <v>609.58000000000004</v>
      </c>
      <c r="E22" t="s">
        <v>706</v>
      </c>
      <c r="F22" t="str">
        <f t="shared" ref="F22:F31" si="2">_xlfn.CONCAT("FC0000",RIGHT(A22,2))</f>
        <v>FC0000SA</v>
      </c>
      <c r="G22" s="153" cm="1">
        <f t="array" ref="G22">_xll.FDSZ(F22,"FMA_MCAP(0,,,USD,""PORTAGG"")")</f>
        <v>2787797.8</v>
      </c>
    </row>
    <row r="23" spans="1:7" x14ac:dyDescent="0.35">
      <c r="A23" t="s">
        <v>198</v>
      </c>
      <c r="B23" t="s">
        <v>450</v>
      </c>
      <c r="C23" t="s">
        <v>433</v>
      </c>
      <c r="D23" s="158" cm="1">
        <f t="array" ref="D23">_xll.FDS(C23,"FREF_MARKET_VALUE_COMPANY(0,,,USD,,0,,""LEGACY"")")</f>
        <v>85.433000000000007</v>
      </c>
      <c r="E23" t="s">
        <v>687</v>
      </c>
      <c r="F23" t="str">
        <f t="shared" si="2"/>
        <v>FC0000NZ</v>
      </c>
      <c r="G23" s="153" cm="1">
        <f t="array" ref="G23">_xll.FDSZ(F23,"FMA_MCAP(0,,,USD,""PORTAGG"")")</f>
        <v>95379.42</v>
      </c>
    </row>
    <row r="24" spans="1:7" x14ac:dyDescent="0.35">
      <c r="A24" t="s">
        <v>174</v>
      </c>
      <c r="B24" t="s">
        <v>45</v>
      </c>
      <c r="C24" t="s">
        <v>44</v>
      </c>
      <c r="D24" s="158" cm="1">
        <f t="array" ref="D24">_xll.FDS(C24,"FREF_MARKET_VALUE_COMPANY(0,,,USD,,0,,""LEGACY"")")</f>
        <v>1506.98</v>
      </c>
      <c r="E24" t="s">
        <v>589</v>
      </c>
      <c r="F24" t="str">
        <f t="shared" si="2"/>
        <v>FC0000AU</v>
      </c>
      <c r="G24" s="153" cm="1">
        <f t="array" ref="G24">_xll.FDSZ(F24,"FMA_MCAP(0,,,USD,""PORTAGG"")")</f>
        <v>1744013.8</v>
      </c>
    </row>
    <row r="25" spans="1:7" x14ac:dyDescent="0.35">
      <c r="A25" t="s">
        <v>157</v>
      </c>
      <c r="B25" t="s">
        <v>50</v>
      </c>
      <c r="C25" t="s">
        <v>49</v>
      </c>
      <c r="D25" s="158" cm="1">
        <f t="array" ref="D25">_xll.FDS(C25,"FREF_MARKET_VALUE_COMPANY(0,,,USD,,0,,""LEGACY"")")</f>
        <v>2487.0239999999999</v>
      </c>
      <c r="E25" t="s">
        <v>611</v>
      </c>
      <c r="F25" t="str">
        <f t="shared" si="2"/>
        <v>FC0000CA</v>
      </c>
      <c r="G25" s="153" cm="1">
        <f t="array" ref="G25">_xll.FDSZ(F25,"FMA_MCAP(0,,,USD,""PORTAGG"")")</f>
        <v>2786880</v>
      </c>
    </row>
    <row r="26" spans="1:7" s="1" customFormat="1" x14ac:dyDescent="0.35">
      <c r="A26" s="160" t="s">
        <v>568</v>
      </c>
      <c r="B26" s="160" t="s">
        <v>39</v>
      </c>
      <c r="C26" s="160" t="s">
        <v>11</v>
      </c>
      <c r="D26" s="158" cm="1">
        <f t="array" ref="D26">_xll.FDS(C26,"FREF_MARKET_VALUE_COMPANY(0,,,USD,,0,,""LEGACY"")")</f>
        <v>916.83900000000006</v>
      </c>
      <c r="E26" s="160" t="s">
        <v>638</v>
      </c>
      <c r="F26" s="160" t="str">
        <f t="shared" si="2"/>
        <v>FC0000DE</v>
      </c>
      <c r="G26" s="161" cm="1">
        <f t="array" ref="G26">_xll.FDSZ(F26,"FMA_MCAP(0,,,USD,""PORTAGG"")")</f>
        <v>2251549.5</v>
      </c>
    </row>
    <row r="27" spans="1:7" x14ac:dyDescent="0.35">
      <c r="A27" t="s">
        <v>164</v>
      </c>
      <c r="B27" t="s">
        <v>47</v>
      </c>
      <c r="C27" t="s">
        <v>46</v>
      </c>
      <c r="D27" s="158" cm="1">
        <f t="array" ref="D27">_xll.FDS(C27,"FREF_MARKET_VALUE_COMPANY(0,,,USD,,0,,""LEGACY"")")</f>
        <v>16076.808000000001</v>
      </c>
      <c r="E27" t="s">
        <v>656</v>
      </c>
      <c r="F27" t="str">
        <f t="shared" si="2"/>
        <v>FC0000JP</v>
      </c>
      <c r="G27" s="153" cm="1">
        <f t="array" ref="G27">_xll.FDSZ(F27,"FMA_MCAP(0,,,USD,""PORTAGG"")")</f>
        <v>6594245.5</v>
      </c>
    </row>
    <row r="28" spans="1:7" x14ac:dyDescent="0.35">
      <c r="A28" t="s">
        <v>276</v>
      </c>
      <c r="B28" t="s">
        <v>43</v>
      </c>
      <c r="C28" t="s">
        <v>42</v>
      </c>
      <c r="D28" s="158" cm="1">
        <f t="array" ref="D28">_xll.FDS(C28,"FREF_MARKET_VALUE_COMPANY(0,,,USD,,0,,""LEGACY"")")</f>
        <v>1222.155</v>
      </c>
      <c r="E28" t="s">
        <v>719</v>
      </c>
      <c r="F28" t="str">
        <f t="shared" si="2"/>
        <v>FC0000CH</v>
      </c>
      <c r="G28" s="153" cm="1">
        <f t="array" ref="G28">_xll.FDSZ(F28,"FMA_MCAP(0,,,USD,""PORTAGG"")")</f>
        <v>2218547.7999999998</v>
      </c>
    </row>
    <row r="29" spans="1:7" x14ac:dyDescent="0.35">
      <c r="A29" t="s">
        <v>167</v>
      </c>
      <c r="B29" t="s">
        <v>451</v>
      </c>
      <c r="C29" t="s">
        <v>48</v>
      </c>
      <c r="D29" s="158" cm="1">
        <f t="array" ref="D29">_xll.FDS(C29,"FREF_MARKET_VALUE_COMPANY(0,,,USD,,0,,""LEGACY"")")</f>
        <v>2879.8609999999999</v>
      </c>
      <c r="E29" t="s">
        <v>732</v>
      </c>
      <c r="F29" t="str">
        <f t="shared" si="2"/>
        <v>FC0000GB</v>
      </c>
      <c r="G29" s="153" cm="1">
        <f t="array" ref="G29">_xll.FDSZ(F29,"FMA_MCAP(0,,,USD,""PORTAGG"")")</f>
        <v>3274508</v>
      </c>
    </row>
    <row r="30" spans="1:7" x14ac:dyDescent="0.35">
      <c r="A30" t="s">
        <v>170</v>
      </c>
      <c r="B30" t="s">
        <v>452</v>
      </c>
      <c r="C30" t="s">
        <v>51</v>
      </c>
      <c r="D30" s="158" cm="1">
        <f t="array" ref="D30">_xll.FDS(C30,"FREF_MARKET_VALUE_COMPANY(0,,,USD,,0,,""LEGACY"")")</f>
        <v>290134.02</v>
      </c>
      <c r="E30" t="s">
        <v>733</v>
      </c>
      <c r="F30" t="str">
        <f t="shared" si="2"/>
        <v>FC0000US</v>
      </c>
      <c r="G30" s="153" cm="1">
        <f t="array" ref="G30">_xll.FDSZ(F30,"FMA_MCAP(0,,,USD,""PORTAGG"")")</f>
        <v>57187160</v>
      </c>
    </row>
    <row r="31" spans="1:7" x14ac:dyDescent="0.35">
      <c r="A31" t="s">
        <v>170</v>
      </c>
      <c r="B31" t="s">
        <v>1</v>
      </c>
      <c r="C31" t="s">
        <v>1</v>
      </c>
      <c r="D31" s="158" cm="1">
        <f t="array" ref="D31">_xll.FDS(C31,"FREF_MARKET_VALUE_COMPANY(0,,,USD,,0,,""LEGACY"")")</f>
        <v>557901.26057899999</v>
      </c>
      <c r="E31" t="s">
        <v>733</v>
      </c>
      <c r="F31" t="str">
        <f t="shared" si="2"/>
        <v>FC0000US</v>
      </c>
      <c r="G31" s="153" cm="1">
        <f t="array" ref="G31">_xll.FDSZ(F31,"FMA_MCAP(0,,,USD,""PORTAGG"")")</f>
        <v>57187160</v>
      </c>
    </row>
    <row r="33" spans="1:7" x14ac:dyDescent="0.35">
      <c r="A33" s="46" t="s">
        <v>366</v>
      </c>
      <c r="B33" s="46" t="str" cm="1">
        <f t="array" ref="B33">_xll.FDS(C33,"FG_COMPANY_NAME")</f>
        <v>Nasdaq South Africa</v>
      </c>
      <c r="C33" s="46" t="s">
        <v>889</v>
      </c>
      <c r="D33" s="164" cm="1">
        <f t="array" ref="D33">_xll.FDSZ(C33,"FMA_MCAP(0,,,USD,""PORTAGG"")")</f>
        <v>0</v>
      </c>
      <c r="E33" s="46" t="str" cm="1">
        <f t="array" ref="E33">_xll.FDS(A33,"FG_COMPANY_NAME")</f>
        <v>South Africa</v>
      </c>
      <c r="F33" s="46" t="str">
        <f>_xlfn.CONCAT("FC0000",RIGHT(A33,2))</f>
        <v>FC0000ZA</v>
      </c>
      <c r="G33" s="164" cm="1">
        <f t="array" ref="G33">_xll.FDS(F33,"FG_MCAP_IDX(0,,,USD)")</f>
        <v>326505.71999999997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21620646"><![CDATA[{"FC0000ZA^FG_MCAP_IDX(0,,,USD)":326505.72,"FC0000CN^FMA_MCAP(0,,,USD,\"PORTAGG\")":7053963.5,"NQG00809^FMA_MCAP(0,,,USD,\"PORTAGG\")":null,"MCHI^FREF_MARKET_VALUE_COMPANY(0,,,USD,,0,,\"LEGACY\")":5412.176,"FC0000US^FMA_MCAP(0,,,USD,\"PORTAGG\")":57187160.0,"FC0000IN^FMA_MCAP(0,,,USD,\"PORTAGG\")":5265089.0,"SPY^FREF_MARKET_VALUE_COMPANY(0,,,USD,,0,,\"LEGACY\")":557901.260579,"INDA^FREF_MARKET_VALUE_COMPANY(0,,,USD,,0,,\"LEGACY\")":11314.652,"FC0000GR^FMA_MCAP(0,,,USD,\"PORTAGG\")":85036.01,"QQQ^FREF_MARKET_VALUE_COMPANY(0,,,USD,,0,,\"LEGACY\")":290134.02,"GREK^FREF_MARKET_VALUE_COMPANY(0,,,USD,,0,,\"LEGACY\")":205.272727436,"FC0000GB^FMA_MCAP(0,,,USD,\"PORTAGG\")":3274508.0,"FC0000ZA^FMA_MCAP(0,,,USD,\"PORTAGG\")":326505.72,"EWU^FREF_MARKET_VALUE_COMPANY(0,,,USD,,0,,\"LEGACY\")":2879.861,"EZA^FREF_MARKET_VALUE_COMPANY(0,,,USD,,0,,\"LEGACY\")":272.601,"FC0000CH^FMA_MCAP(0,,,USD,\"PORTAGG\")":2218547.8,"FC0000BR^FMA_MCAP(0,,,USD,\"PORTAGG\")":681987.44,"EWL^FREF_MARKET_VALUE_COMPANY(0,,,USD,,0,,\"LEGACY\")":1222.155,"EWZ^FREF_MARKET_VALUE_COMPANY(0,,,USD,,0,,\"LEGACY\")":4363.8,"FC0000JP^FMA_MCAP(0,,,USD,\"PORTAGG\")":6594245.5,"FC0000KR^FMA_MCAP(0,,,USD,\"PORTAGG\")":1906839.3,"EWJ^FREF_MARKET_VALUE_COMPANY(0,,,USD,,0,,\"LEGACY\")":16076.808,"EWY^FREF_MARKET_VALUE_COMPANY(0,,,USD,,0,,\"LEGACY\")":5456.4895,"FC0000DE^FMA_MCAP(0,,,USD,\"PORTAGG\")":2251549.5,"FC0000MX^FMA_MCAP(0,,,USD,\"PORTAGG\")":472243.47,"EWG^FREF_MARKET_VALUE_COMPANY(0,,,USD,,0,,\"LEGACY\")":916.839,"EWW^FREF_MARKET_VALUE_COMPANY(0,,,USD,,0,,\"LEGACY\")":1669.815,"FC0000CA^FMA_MCAP(0,,,USD,\"PORTAGG\")":2786880.0,"FC0000TW^FMA_MCAP(0,,,USD,\"PORTAGG\")":2429504.3,"EWC^FREF_MARKET_VALUE_COMPANY(0,,,USD,,0,,\"LEGACY\")":2487.024,"EWT^FREF_MARKET_VALUE_COMPANY(0,,,USD,,0,,\"LEGACY\")":5170.522,"FC0000AU^FMA_MCAP(0,,,USD,\"PORTAGG\")":1744013.8,"FC0000MY^FMA_MCAP(0,,,USD,\"PORTAGG\")":412174.94,"EWA^FREF_MARKET_VALUE_COMPANY(0,,,USD,,0,,\"LEGACY\")":1506.98,"EWM^FREF_MARKET_VALUE_COMPANY(0,,,USD,,0,,\"LEGACY\")":289.836,"FC0000NZ^FMA_MCAP(0,,,USD,\"PORTAGG\")":95379.42,"FC0000PE^FMA_MCAP(0,,,USD,\"PORTAGG\")":37386.44,"ENZL^FREF_MARKET_VALUE_COMPANY(0,,,USD,,0,,\"LEGACY\")":85.433,"EPU^FREF_MARKET_VALUE_COMPANY(0,,,USD,,0,,\"LEGACY\")":123.06,"FC0000SA^FMA_MCAP(0,,,USD,\"PORTAGG\")":2787797.8,"FC0000PL^FMA_MCAP(0,,,USD,\"PORTAGG\")":208133.77,"KSA^FREF_MARKET_VALUE_COMPANY(0,,,USD,,0,,\"LEGACY\")":609.58,"EPOL^FREF_MARKET_VALUE_COMPANY(0,,,USD,,0,,\"LEGACY\")":342.6795,"FTSEWIVNXXXX^FMA_MCAP(0,,,USD,\"PORTAGG\")":23454.447983,"FC0000PH^FMA_MCAP(0,,,USD,\"PORTAGG\")":212672.06,"VNM^FREF_MARKET_VALUE_COMPANY(0,,,USD,,0,,\"LEGACY\")":485.615,"EPHE^FREF_MARKET_VALUE_COMPANY(0,,,USD,,0,,\"LEGACY\")":97.166,"FC0000AE^FMA_MCAP(0,,,USD,\"PORTAGG\")":876198.5,"FC0000TR^FMA_MCAP(0,,,USD,\"PORTAGG\")":419263.34,"FC0000QA^FMA_MCAP(0,,,USD,\"PORTAGG\")":158718.55,"FC0000ID^FMA_MCAP(0,,,USD,\"PORTAGG\")":675296.44,"FC0000CL^FMA_MCAP(0,,,USD,\"PORTAGG\")":142746.33,"CC_ZA^FG_COMPANY_NAME":"South Africa","TUR^FREF_MARKET_VALUE_COMPANY(0,,,USD,,0,,\"LEGACY\")":251.4475,"SET-BKK^FG_MCAP_IDX(0,,,USD)":448963.458128379,"QAT^FREF_MARKET_VALUE_COMPANY(0,,,USD,,0,,\"LEGACY\")":63.5625,"CNYA^FREF_MARKET_VALUE_COMPANY(0,,,USD,,0,,\"LEGACY\")":271.74,"SET-BKK^FMA_MCAP(0,,,USD,\"PORTAGG\")":448963.458128379,"UAE^FREF_MARKET_VALUE_COMPANY(0,,,USD,,0,,\"LEGACY\")":34.248,"EIDO^FREF_MARKET_VALUE_COMPANY(0,,,USD,,0,,\"LEGACY\")":327.078,"ECH^FREF_MARKET_VALUE_COMPANY(0,,,USD,,0,,\"LEGACY\")":536.608,"NQG00809^FG_COMPANY_NAME":"Nasdaq South Africa","DUMMY^ECON_EXPR_DATA('FDS_ECON[NTCPMIINDEXSA@SA]',,,M)":55.00529,"DUMMY^ECON_EXPR_DATA('FDS_ECON[NTCPMIPHMANHE]',,,M)":51.30511,"DUMMY^ECON_EXPR_DATA('FDS_ECON[NTCPMIMFGSA@ID]',,,M)":50.6578,"DUMMY^ECON_EXPR_DATA('FDS_ECON[NTCPMIMFGSA@CL]',,,M)":null,"DUMMY^ECON_EXPR_DATA('FDS_ECON[NTCPMITHMANHE]',,,M)":51.7474,"DUMMY^ECON_EXPR_DATA('FDS_ECON[PMIQAWHEHE]',,,M)":55.90736,"DUMMY^ECON_EXPR_DATA('FDS_ECON[NTCPMIMFGSA@GR]',,,M)":54.023083,"DUMMY^ECON_EXPR_DATA('FDS_ECON[NTCPMIMFGSA@BR]',,,M)":52.50815,"DUMMY^ECON_EXPR_DATA('FDS_ECON[NTCPMIMFGSA@PE]',,,M)":null,"DUMMY^ECON_EXPR_DATA('FDS_ECON[NTCPMIMFGSA@PL]',,,M)":45.049862,"DUMMY^ECON_EXPR_DATA('FDS_ECON[NTCPMIMFGSA@CN]',,,M)":51.78663,"DUMMY^ECON_EXPR_DATA('FDS_ECON[NTCPMIMFGSA@IN]',,,M)":58.348763,"DUMMY^ECON_EXPR_DATA('FDS_ECON[PMIMFGSA@ZA]',,,M)":49.24229,"DUMMY^ECON_EXPR_DATA('FDS_ECON[NTCPMIMFGSA@MX]',,,M)":51.121384,"DUMMY^ECON_EXPR_DATA('FDS_ECON[NTCPMIMFGSA@TW]',,,M)":53.2,"DUMMY^ECON_EXPR_DATA('FDS_ECON[NTCPMIMFGSA@TR]',,,M)":47.89285,"DUMMY^ECON_EXPR_DATA('FDS_ECON[PMIMYMANHE]',,,M)":49.89638,"DUMMY^ECON_EXPR_DATA('FDS_ECON[NTCPMIMFGSA@VN]',,,M)":54.71824,"DUMMY^ECON_EXPR_DATA('FDS_ECON[NTCPMIMFGSA@KR]',,,M)":52.0388,"DUMMY^ECON_EXPR_DATA('FDS_ECON[NTCPMIMFGSA@AE]',,,M)":null,"CAGDPY@QA^EE_ACTUAL_ANNUAL(MED,0)":16.2,"CAGDPY@TW^EE_ACTUAL_ANNUAL(MED,0)":13.5674535548706,"CC_VN^FG_COMPANY_NAME":"Vietnam","CC_PH^FG_COMPANY_NAME":"Philippines","USDVND^FG_PRICE_CHANGE(0,-1AM)":-0.5009353,"USDTRY^FG_PRICE_CHANGE(0,-1AM)":1.661408,"USDQAR^FG_PRICE_CHANGE(0,-1AM)":0.0,"USDINR^FG_PRICE_CHANGE(0,-1AM)":0.24563074,"USDZAR^FG_PRICE_CHANGE(0,-1AM)":1.6929984,"USDKRW^FG_PRICE_CHANGE(0,-1AM)":0.35822392,"USDTWD^FG_PRICE_CHANGE(0,-1AM)":1.1437893,"USDPEN^FG_PRICE_CHANGE(0,-1AM)":-1.960218,"USDPHP^FG_PRICE_CHANGE(0,-1AM)":-0.6749928,"USDCLP^FG_PRICE_CHANGE(0,-1AM)":1.4549494,"FC0000TH^FMA_EPS(NTMA,-20AY,0,CY,,\"PORTAGG\",\"MEANR\")":[31.2696221195453,27.830708973543,28.9087147679287,30.2976622903306,23.8840282811916,35.3892777377471,41.7866258502755,42.2131083571648,48.114746973891,45.5007724746185,42.846065697041,39.0473397635884,39.7546846722989,47.2983820623366,49.7080844180477,48.1240323726985,34.7106307301713,40.2723415007705,42.4815782334381,40.1816074670961],"FC0000CN^FMA_EPS(NTMA,-20AY,0,CY,,\"PORTAGG\",\"MEANR\")":[null,5.08495696671206,6.03381551719642,10.2264803534379,9.2256018344915,11.1721706350105,14.2299143361003,15.4690015453803,14.1959016123051,16.0802582554231,16.6306210914505,16.640425298627,16.5240809032362,19.0217107904337,18.005603285854,17.6337784218118,17.4893601530666,21.2690649046914,20.3654577404382,19.1055267291665],"EWM^P_PRICE_RETURNS_PR('52W',2,-10AY,0,AM)":[5.4963827,13.607586,0.52717924,-4.4519067,-3.5265982,-11.057991,-8.580345,-8.454693,-10.112124,-10.06056,-13.849169,-20.44453,-21.117079,-35.623383,-30.033695,-25.263834,-27.306276,-21.476316,-24.627865,-18.465126,-11.727959,-9.370268,-18.143415,-12.016577,-5.7820024,15.30615,5.488074,3.7077904,-0.9109199,-1.6347468,5.1151276,-2.3272634,-4.577148,-9.772354,6.1754346,8.836948,0.8985281,-1.0868788,8.178366,5.1487207,14.442897,20.15971,28.663181,27.360308,21.173954,25.647497,14.4697075,4.662204,7.896507,9.457374,6.1342835,2.1654844,0.5251527,-6.973296,-8.46135,-9.589445,-8.588039,-16.623926,-14.828324,-3.844732,-4.421723,-10.7132015,-10.952938,-5.75313,-2.9908538,1.8564463,-2.4717987,-11.214388,-35.958332,-17.12035,-12.520236,-11.02733,-4.596007,0.9057045,-3.7273765,-0.7336557,0.0050902367,5.7956934,-1.3440132,5.5292487,49.730278,19.704378,15.400732,6.631267,-6.344408,-6.616342,0.86716413,3.9984107,-5.6959333,-14.406657,-6.0456696,-0.8766353,-2.01661,-2.2835314,-6.455338,-12.307877,-8.180446,-4.0430903,-11.461717,-21.06818,-9.556717,-2.575624,-0.99484324,-9.349108,-14.499849,-10.374755,-7.2836637,-5.6441784,-0.30313134,-5.1371517,0.88472366,5.034709,1.7932773,-2.1888614,-7.762134,-2.539742,6.32478,2.199459,11.666894,16.049122,15.061892],"GREK^FG_TOTAL_RETURNC(-10AY,0,AM)":[-9.888286,-6.9788814,-1.2833178,-16.850006,-0.54118633,-11.850065,-11.934012,0.7861614,-20.748829,3.0511737,19.770777,-11.483246,-6.8468513,-3.965187,6.344402,-1.9886315,-8.212561,-12.315792,-15.812338,-10.853839,18.019474,6.138921,8.47168,-9.557939,-4.0951195,1.9283772,-5.6756735,6.8767905,2.2788167,-0.91742873,5.4804206,-1.2787759,1.943016,1.397717,20.426046,3.7461042,8.024073,-4.1782737,-7.6550426,-1.7838478,-6.7307653,15.349377,11.064922,-0.82191825,-8.103127,8.116234,-12.974972,-1.5974462,0.86580515,-8.690977,-1.8801391,-9.940136,-2.3936093,-2.5885582,1.0178924,7.8014135,5.6578994,7.3474407,-8.816708,17.811716,3.0484796,-7.052642,6.681776,2.6539207,2.1716714,2.024293,1.2456298,-7.684636,-45.405407,20.59406,-3.3387065,13.193655,1.4799476,4.0694833,1.4306188,-9.543962,13.305616,19.174313,-0.6365478,-4.151845,7.4669957,4.721689,4.2155385,0.03517866,-9.493673,6.3325644,3.83631,-0.49437284,-2.367431,-4.2375984,9.489751,2.647376,-9.456671,5.469048,-9.2906,-5.518067,-3.8729131,9.027171,-5.6270065,-1.8313468,10.759222,4.8570275,9.036911,12.8998165,-10.242838,10.822058,0.1251936,15.317286,7.70396,-6.886077,-6.851554,-3.7653148,11.798609,3.309822,2.963996,3.9292216,-0.050073862,-2.555102,10.30848,-6.2689304,5.4454923],"DUMMY^ECON_EXPR_DATA('FDS_ECON[NTCPMIMFGSA@EME]',,,M)":52.09547,"EWM^FMA_ROE(NTMA,-20AY,NOW,FY,\"PORTAGG\",\"MEANR\")":[13.3764235591454,13.2591008782889,13.5343642097079,14.6672633006441,11.7899739556718,12.6973987236168,14.629974764894,13.8590428625605,13.2332711485965,13.0689929250701,12.0884430441681,10.6772868053956,9.6001106335988,9.81766059257374,9.62847705365634,9.33280715475934,10.6153952262209,9.47363114651142,10.1683466984571,9.55885733911211],"TRYMX10Y-FDS^FG_YIELD(-10AY,0,Y,,\"YTM\")":[5.8237,6.2537,7.5651,7.6401,8.7069,6.8373,5.552,7.558,9.0223,8.95],"TRYPE10Y-FDS^FG_YIELD(-10AY,0,Y,,\"YTM\")":[5.681629,7.426917,6.415413,5.167133,5.645114,4.243226,3.535983,5.889906,7.923381,6.6087],"CAGDPY@CN^EE_ACTUAL_ANNUAL(MED,+1)":1.3,"CAGDPY@MY^EE_ACTUAL_ANNUAL(MED,+1)":2.45,"CC_AE^FG_COMPANY_NAME":"United Arab Emirates","CC_ID^FG_COMPANY_NAME":"Indonesia","USDVND^FG_PRICE_CHANGE(0,-1AY)":7.1572185,"USDTRY^FG_PRICE_CHANGE(0,-1AY)":22.967838,"USDQAR^FG_PRICE_CHANGE(0,-1AY)":0.02746582,"USDINR^FG_PRICE_CHANGE(0,-1AY)":1.9093752,"USDZAR^FG_PRICE_CHANGE(0,-1AY)":1.9126415,"USDKRW^FG_PRICE_CHANGE(0,-1AY)":9.580814,"USDTWD^FG_PRICE_CHANGE(0,-1AY)":5.2820325,"USDPEN^FG_PRICE_CHANGE(0,-1AY)":4.6974063,"USDPHP^FG_PRICE_CHANGE(0,-1AY)":7.0216656,"USDCLP^FG_PRICE_CHANGE(0,-1AY)":15.681494,"FC0000QA^FMA_EPS(NTMA,-20AY,0,CY,,\"PORTAGG\",\"MEANR\")":[null,null,8.19979965085614,9.86863008324955,11.8416183510855,9.76511455010403,8.67191902894658,9.6607184301563,10.0321675505118,9.69647619984179,9.72756648791858,9.25802090548642,8.13418419337586,7.80636838365136,8.33677509681871,7.7374565221449,7.78465315909482,9.35773101457557,9.97398745950005,9.61320801792281],"FC0000CL^JULIAN(FMA_EPS(NTMA,-20AY,0,CY,,\"PORTAGG\",\"MEANR\").DATES)":[38352,38716,39080,39447,39813,40178,40543,40907,41274,41639,42004,42369,42734,43098,43465,43830,44196,44561,44925,45289],"EPU^P_PRICE_RETURNS_PR('52W',2,-10AY,0,AM)":[11.855232,7.1440816,6.0207963,-1.2054741,3.6610484,-1.954937,-8.437878,-7.4723186,-7.0698204,-9.978735,-10.314054,-15.169549,-21.296383,-35.615826,-36.026108,-29.167694,-31.919294,-36.079525,-39.60406,-29.029823,-7.194191,4.224205,-1.9013941,1.8787861,18.819702,55.19365,45.231937,43.53552,47.148193,60.42868,89.8242,67.86465,31.531275,12.15601,18.996822,14.181721,8.677351,4.030323,19.386435,27.487553,29.73993,25.386547,33.244587,21.048843,27.32117,38.453316,28.902996,24.9799,14.694107,6.046355,-2.5378108,-10.929161,-9.347111,-8.182019,-14.603382,-6.908655,-2.7763665,-12.512684,-15.513581,-9.192795,-1.1268914,-8.300418,-2.6313424,-1.820606,-1.1751771,4.8260927,3.5504103,-7.639897,-42.31105,-34.282368,-23.302341,-18.519466,-21.334957,-4.401845,-10.341292,-12.18999,-6.953466,1.0414481,-2.3388922,12.776268,64.6111,41.519238,28.788233,2.3492217,-2.4475813,-21.803724,-10.078687,4.1386485,-5.246907,-16.65703,-0.15833974,-5.369699,6.1538815,4.408467,-9.085215,2.224207,-4.448247,15.866351,2.5868773,-12.157572,3.4978747,3.7503958,-2.9029846,-10.212779,-18.391598,-4.2525053,8.26646,16.195452,36.73903,21.737576,25.865746,21.009457,9.488546,28.324116,10.849667,23.350216,40.606262,32.574524,50.204266,34.16716,30.46025],"EZA^FG_TOTAL_RETURNC(-10AY,0,AM)":[1.5886784,1.3161659,-3.6995232,-6.01173,8.845556,-6.0410557,0.6335974,5.3439736,-5.2040815,7.565737,-0.7004976,-7.4287295,2.1886945,-10.529548,-3.5340548,6.420064,-6.3001337,-15.141785,-15.271055,16.510986,12.697721,7.8638673,-14.759356,7.2563767,10.990822,7.8914046,-7.314211,-1.1402726,-8.257044,0.7383704,9.133398,3.4495473,5.0904512,-3.8818538,5.496049,-3.645146,5.6033015,0.412333,-1.1826575,2.1941543,1.5452147,6.5627217,8.981943,3.369069,-5.8316526,-0.8581221,-9.016156,-10.468805,3.6144495,-7.757717,-0.6397009,-6.343502,5.7824492,-5.4353895,13.132358,-1.6791403,-1.9305706,10.107887,-8.389198,5.5632353,0.07289648,-16.281187,10.093534,0.67180395,1.1187434,3.8283706,-0.22615194,-3.9151013,-44.97105,17.770851,9.0999365,9.153414,9.507645,-4.4185996,2.7574897,-0.26308298,11.711943,11.078095,-0.11071563,8.313012,-0.12280345,6.270492,-1.5233338,-3.9405465,-3.7646592,-2.2017956,0.8743167,8.559036,-7.604784,-0.7789433,9.018922,5.468118,4.495883,-4.96155,-11.404347,-6.0528936,-3.241831,2.5678635,-7.8445315,-3.7257493,16.769695,-1.3228536,7.8143477,-6.171751,-8.263117,9.95152,-10.164774,11.038864,1.5147924,-9.979015,-0.3107965,-2.0265043,6.97428,2.9251337,-7.067317,1.4431834,-2.7935803,2.1820068,14.296865,2.1253347,-1.9487917],"TUR^FMA_DIV_YLD(NTMA,-10AY,0,AM,\"PORTAGG\",\"MEANR\")":[2.6956427860356,3.07334927153517,3.12334032168294,3.15422064001449,2.88322738414143,2.79497066249419,2.71527275766391,2.84632051653839,2.96483964309464,2.92990024433612,2.72363275515601,3.00054203399444,3.00745844263003,3.29922032010289,3.38292748832137,3.15716852957048,3.18832844421271,3.59017945498175,3.67715938250091,3.55401747633635,3.09951135672876,3.15091720823131,3.48182228526003,3.63977515425848,3.62654688567533,3.45573843523741,3.54479069282841,3.54300126010973,3.75846537058808,3.8186839304511,3.67564830532928,3.48926459041305,3.52671355372339,3.62229976033489,3.72503871754565,3.57556289878641,3.48261553127104,3.79357289311791,4.04401914350545,4.08681939437517,4.27844671176807,4.22872711752846,4.02577032737503,4.16404581837587,4.44013851256907,4.7246896722439,5.23310753197832,5.59331566186555,5.5791343070422,5.78131576347854,5.55754322540075,5.40351298229129,5.24452632154133,5.15978545967246,4.59055922637345,4.65150815108287,4.37849311066199,5.08178910149065,5.63081985452017,4.92188368037562,4.40537512758011,5.04964600876863,5.01269645038938,5.11766306750429,4.41616757209993,4.40622754357273,4.261206091408,4.40768641816714,6.01865724805731,4.82776211710077,3.96524984182129,3.21834145949255,3.31960882071936,3.96041863125953,4.5299846783014,4.21801893208157,3.93668791548295,3.86001374593634,3.82016106150841,4.48871386193196,4.55738148531396,5.43474823938442,5.35894990640037,5.59487389543976,6.05874648830605,5.85954250230842,6.06793690017868,6.12329571658346,5.09553968577008,4.70745243257924,5.55168353286306,5.82077225816085,5.98442676626081,5.34839387959543,5.60982151849469,5.38344756384583,6.09479796363815,4.95140930313712,5.11073342219644,5.00263347759177,5.04062821140223,4.44976842048577,4.7418415239317,5.27848298909083,4.83342692786243,5.0690800964149,5.65313187103981,4.73503741136042,4.03128138348512,3.77400810897163,3.93507786048793,4.22604131277665,4.45358377877457,4.73424936574513,4.42464122448461,4.06262522765114,4.25857355349847,4.30749232233658,4.23688491496498,3.97321663563106,3.89069403087472],"ECH^FMA_DIV_YLD(NTMA,-10AY,0,AM,\"PORTAGG\",\"MEANR\")":[3.10411753943853,3.09434684583153,3.02281445192268,3.28112539448991,2.9329308694265,3.22876340103443,3.30354097956142,3.11776401408488,3.3477604781094,3.14439795821398,3.17369495714477,3.436721172644,3.5360453629785,3.62847803507467,3.60467620321051,3.59115092748165,3.66120764773449,3.77120795257409,4.02498120191966,3.67411759260616,3.38461677924066,3.44407562204541,3.31393868434563,3.25989540417901,2.88048891286756,2.87761362696978,3.11483161052857,2.67903603871935,2.85342232256786,2.8605054217998,2.94127159264928,2.76252150015522,2.64078642672673,2.46481740450422,2.42293614039382,2.65752328725086,2.56131634368038,2.59048623174067,2.49249614170622,2.83102707942217,2.93376768473326,2.97349816772021,2.74797125622567,3.01602416284194,3.11676186186785,3.05125167742793,3.26901531215174,3.29776414268705,3.3103488850009,3.40945491635556,3.34736180632384,3.02414949762776,2.98019688812126,3.146727823953,2.91049749318637,2.95420893051595,3.03196746077563,2.94020195379755,3.25695038658398,3.30718415140903,3.20452929449634,3.48723666287375,3.25202385742261,3.16525276112541,3.48257483492884,3.65219747197605,3.60902437307366,3.85803821060053,5.55750754870121,4.22761719190067,3.75391736289502,3.37339996291128,3.3261401318058,3.36051272929931,3.81398112896265,3.84434093510227,3.3744322780965,3.18675992431182,2.99854925464956,2.97465559973628,2.84547005244362,3.06184825024655,4.0756183540911,3.9295422303544,4.31356079080322,4.83483173147148,4.58808375899594,5.12278937536332,5.04651954559516,5.26166798276473,4.95331142578113,4.75060344041658,4.63939778666884,4.79818898307692,5.42180010538772,6.94202324576581,7.43775996182497,7.5449476696829,6.61121928055052,7.19045338699775,9.07074871631861,8.69523290304445,8.10921110847059,7.90438632754865,8.9013597844244,7.99449698629497,7.23688009904983,6.99905364342405,6.17416097657913,6.15921311560247,6.62166456486589,6.78612946174159,6.70038100253395,6.69290323848562,7.16750395992547,6.63431689183753,7.13449032681395,6.93045823800979,5.10732827517992,5.31766664999972,5.32675032814945],"EWT^FMA_PE(NTMA,-10AY,0,AM,\"PORTAGG\",\"MEANR\")":[14.1473776493444,13.6824019003657,13.502462261098,12.3494110844001,13.0514081226179,12.7900072708299,12.4181559017914,12.8067561788342,12.9328680797647,12.5732470047976,12.9244100386328,12.4174236164617,12.2436583707326,11.2108264992707,11.949505909656,12.1640854906707,12.1096153225422,11.6785129964465,11.1802017708946,12.1698855246865,12.8889414181528,12.6178801284126,12.0517789550182,12.9619669784579,13.6201980419356,13.6027278169838,13.6666062523962,13.687502978345,12.9112055379911,12.9744203462205,12.9116633259685,13.1436216730994,13.2705692654972,12.8416986138611,13.2554788601374,13.7044206114868,14.1056855978177,13.8171545960909,13.7829293947897,13.7913396741801,13.7115955778349,13.0710271431711,13.9103948892233,12.9893898946064,13.7573842984882,13.6874593122339,13.4339822222204,13.3785768384681,13.2541491331472,13.1480772616211,13.0837488595272,12.0905250920743,12.3910989891637,12.4717837628396,13.2040545526891,13.9169991981914,14.594275908831,15.2193563899875,14.320059198635,15.0115298070292,15.0830477571453,14.5192586904246,15.2128008593853,15.2943473369108,15.8353242588213,15.8937832944272,15.5845474483354,15.070490286259,11.5227322717546,14.8051028021608,15.3026318970339,16.2400327460608,16.7119346199214,16.4839740775662,15.7165929700599,15.2388078407449,15.4943187292756,15.611758662966,16.8233432961111,16.1615612122519,15.3202708581861,15.3554684622398,13.1425666041697,13.8012377963667,13.8314685233463,12.4615540034928,13.1273858489583,12.7393100225487,13.475855147721,13.4053765972471,13.1425498816927,12.8756702051291,12.3314021448398,11.6640559427646,11.2811862038321,10.928864852716,10.2635634130558,11.2686192988852,10.76674147994,10.2670928012435,12.4636387000893,12.7386794298516,13.8386881823987,14.3110315899729,14.613434616395,14.8916448426624,15.8090338372792,16.6120077997019,16.5738978712696,15.7492749230553,15.6490394359964,15.1867294531919,15.645268361222,15.9230106655201,15.757880537353,16.3409521395709,17.2756622325469,16.4181780826184,17.7739247977898,18.2874773311801,18.2486520213211],"INDA^FMA_PE(LTMA,-10AY,0,AM,\"PORTAGG\",\"MEANR\")":[17.2273349734471,17.6106991970516,18.0478803183596,17.6018228981549,19.180377934908,19.0013876336942,19.8716776123964,21.2466840027827,20.8676941953684,20.6955042195641,20.3823096501144,20.2178091973017,21.0230279546586,21.3042094347887,20.4500108632887,20.8599097328905,20.1109443623469,20.195498583959,19.2336898014783,19.3850790956093,18.9428546479608,19.0080680831646,18.8508001105946,19.054380605764,19.481576764317,19.7158347071417,19.8185762410811,19.7966886183978,18.6101432778257,18.8446052162075,19.4449783662786,20.4333526678025,20.5095130501864,20.3331439018808,20.3513213763575,20.357096158964,20.7412730371234,20.7588411089339,21.3295786139398,21.3247981959895,21.6969936294441,22.3583602725579,23.1428718686301,21.7379853082338,21.4512929436243,21.4140201615895,21.0742105123916,21.2276623455182,21.2152180461456,22.1263316730634,21.9619331897935,20.28101366543,21.5254901423935,21.9013149163919,21.5603648860277,21.0791975055053,21.7465963452591,21.572625805931,21.307190913606,21.3575166110921,21.1404695314115,21.052666542372,20.700061725032,21.8307187634848,23.1471495960412,23.4076547125299,23.8106254331154,23.3408962509711,20.1207760890424,20.6017634508736,20.9693631598881,23.05897119769,24.4380668502263,25.6453643867377,26.1105728140941,26.7889981658817,27.1808390130661,32.8076959651829,33.9187470128919,32.2782741720342,30.6975680623609,29.7822164610728,29.4027042667195,29.1707317115857,28.6206151378192,28.9487413035877,29.591616812761,29.8263593117472,28.8798779917905,28.0797946874242,29.0322290227596,27.272674928349,26.3329208345402,25.8967573361602,24.8981822996572,24.2286239841539,24.5887020193987,25.8966040429313,25.6295599796416,25.2581252858758,26.1933318314964,26.6214952547471,25.8011551183452,25.1283307297312,23.9197589289379,23.7082823066772,23.7814674648828,24.1146063548766,24.2997689565145,23.5769741796204,23.9484221443001,23.5303475252445,23.5450766346632,25.463470457843,25.8961788298286,26.3826492022873,25.8819129125173,25.7029610632322,25.671232705434,26.0093214359831,26.3989077460062],"DDR3512M-FDS^FG_PRICE(0)/MAX(FG_PRICE(0,-1AY))":0.884615384615385,"PASP-FDS^FG_PRICE(0)/MAX(FG_PRICE(0,-1AY))":0.716417910447761,"PLATI-FDS^FG_PRICE(0)/MAX(FG_PRICE(0,-1AY))":0.935453695042095,"W-FDS^FG_PRICE(0)/MAX(FG_PRICE(0,-1AY))":0.713909898059849,"COPP-FDS^FG_PRICE(0)/MAX(FG_PRICE(0,-1AY))":0.824184411017777,"FC0000SA^FG_PRICE(0)":49.14888,"SET-BKK^FG_PRICE(0)":1317.14,"FC0000GR^FG_PRICE(0)":9.935695,"FC0000MX^FG_PRICE(0)":477.20877,"FC0000PL^FG_PRICE(0)":215.95464,"FC0000CN^FG_PRICE(0)":234.25064,"TUR^FG_PRICE_MAVG(0,,,,60)":41.898834,"INDA^FG_PRICE_MAVG(0,,,,60)":54.2095,"EWY^FG_PRICE_MAVG(0,,,,60)":65.2585,"EPU^FG_PRICE_MAVG(0,,,,60)":41.768944,"ECH^FG_PRICE_MAVG(0,,,,60)":27.342,"VNM^FG_TOTAL_RETURNC(0,-12AM)":-8.986181,"UAE^PERCENT_CHANGE(FMA_EPS(+1,0,,,,\"PORTAGG\",\"MEAN\"),FMA_EPS(+1,-1AM,,,,\"PORTAGG\",\"MEAN\"))":-0.409054411325159,"SET-BKK^FG_TOTAL_RETURNC(0,-1AM)":1.0216236,"MCHI^FG_TOTAL_RETURNC(0,-6AM)":13.944149,"GREK^P_PRICE(0)/P_PRICE_LOW_PR(0,,,,,,\"PRICE\",\"INTRA\",\"52W\")-1":0.37854135,"EZA^FMA_PCT_ABOVE_MAVG(200,0,,,,\"PORTAGG\")":66.6666666666667,"EWY^PERCENT_CHANGE(FMA_EPS(+1,0,,,,\"PORTAGG\",\"MEAN\"),FMA_EPS(+1,-3AM,,,,\"PORTAGG\",\"MEAN\"))":6.73453827229429,"EWT^FG_TOTAL_RETURNC(0,-3AM)":16.254652,"EPU^P_PRICE(0)/P_PRICE_HIGH_PR(0,,,,,,\"PRICE\",\"INTRA\",\"52W\")":0.9121637,"EPHE^FG_TOTAL_RETURNC(0,-12AM)":-2.388996,"EIDO^PERCENT_CHANGE(FMA_EPS(+1,0,,,,\"PORTAGG\",\"MEAN\"),FMA_EPS(+1,-1AM,,,,\"PORTAGG\",\"MEAN\"))":2.22640562543415,"DUMMY^ECON_EXPR_DATA('FDS_ECON[PMIDMMANHE]',,,M)":49.659245,"EPU^FMA_ROE(NTMA,-20AY,NOW,FY,\"PORTAGG\",\"MEANR\")":[null,null,null,null,null,21.6487924933022,26.674075406927,23.3940784657959,19.9442083003203,14.2295976118279,12.7121203643147,8.83035011509517,12.5824807721625,12.1461987185301,10.92253300719,11.9146021952872,12.0860263580498,15.0555657723641,13.6225814449299,12.9324474268757],"TRYIN10Y-FDS^FG_YIELD(-10AY,0,Y,,\"YTM\")":[7.86,7.89,6.63,7.35,7.35,6.55,5.9,6.45,7.33,7.19],"TRYGR10Y-FDS^FG_YIELD(-10AY,0,Y,,\"YTM\")":[9.61,8.24,7.15,4.14,4.37,1.45,0.618,1.315,4.585,3.099],"CAGDPY@CN^EE_ACTUAL_ANNUAL(MED,0)":1.41410583295463,"CAGDPY@MY^EE_ACTUAL_ANNUAL(MED,0)":1.54713940757014,"CC_TR^FG_COMPANY_NAME":"Turkey","CC_CL^FG_COMPANY_NAME":"Chile","USDVND^FG_PRICE(0)":25325.0,"USDTRY^FG_PRICE(0)":33.05775,"USDQAR^FG_PRICE(0)":3.641,"USDINR^FG_PRICE(0)":83.6625,"USDZAR^FG_PRICE(0)":18.2844,"USDKRW^FG_PRICE(0)":1386.8,"USDTWD^FG_PRICE(0)":32.7185,"USDPEN^FG_PRICE(0)":3.7411,"USDPHP^FG_PRICE(0)":58.345,"KSA^FMA_ROE(NTMA,-20AY,NOW,FY,\"PORTAGG\",\"MEANR\")":[null,null,null,null,null,null,null,null,null,null,null,12.9007124779981,11.3294751772354,11.9967853551854,12.1701096511068,11.2305559835714,10.1469870702335,12.7997878100329,13.7783180309653,11.758331061377],"EPOL^FMA_ROE(NTMA,-20AY,NOW,FY,\"PORTAGG\",\"MEANR\")":[null,null,null,null,null,null,12.9136409385463,11.6682069956937,9.88095297355163,9.32819662687838,9.08400416739547,8.19593899535384,8.81992527720217,10.5838129179285,10.2657999868947,9.4389843194853,7.20768650788903,10.1460102201106,10.9641857238333,12.3945793275799],"TRYQA10Y-FDS^FG_YIELD(-10AY,0,Y,,\"YTM\")":[null,null,null,null,null,null,null,null,null,null],"TRYCH10Y-FDS^FG_YIELD(-10AY,0,Y,,\"YTM\")":[0.314,null,-0.12,-0.09,-0.176,-0.434,-0.49,-0.111,1.617,0.703],"CAGDPY@IN^EE_ACTUAL_ANNUAL(MED,+1)":-1.2,"CAGDPY@PE^EE_ACTUAL_ANNUAL(MED,+1)":-0.65,"CC_TH^FG_COMPANY_NAME":"Thailand","CC_CN^FG_COMPANY_NAME":"China","USDVND^FG_COMPANY_NAME":"Vietnam Dong per U.S. Dollar","USDTRY^FG_COMPANY_NAME":"Turkish New Lira per U.S. Dollar","USDQAR^FG_COMPANY_NAME":"Qatari Rial per U.S. Dollar","USDINR^FG_COMPANY_NAME":"Indian Rupee per U.S. Dollar","USDZAR^FG_COMPANY_NAME":"South African Rand per U.S. Dollar","USDKRW^FG_COMPANY_NAME":"South Korean Won per U.S. Dollar","USDTWD^FG_COMPANY_NAME":"Taiwan Dollar per U.S. Dollar","USDPEN^FG_COMPANY_NAME":"Peruvian New Sol per U.S. Dollar","USDPHP^FG_COMPANY_NAME":"Philippines Peso per U.S. Dollar","USDCLP^FG_COMPANY_NAME":"Chilean Peso per U.S. Dollar","FC0000IN^FMA_EPS(NTMA,-20AY,0,CY,,\"PORTAGG\",\"MEANR\")":[17.0027626869708,19.8227206360557,24.8656970951245,36.9882839444287,27.436164618175,31.1759922107968,39.3994482872955,33.2075700851179,33.4015998070445,29.9102522143572,32.6356733774262,32.8033724775519,33.3581868691557,38.0229713645291,36.6203986672657,36.3068316883199,33.7109241569627,47.005240463817,46.029957277037,54.6579936148452],"VNM^FMA_ROE(NTMA,-20AY,NOW,FY,\"PORTAGG\",\"MEANR\")":[null,null,null,null,null,12.2007678582522,16.4162915324944,16.394053839446,15.4303491131499,15.2759317822094,10.9403666714676,8.5756546844961,13.4991404349356,12.1231419211942,15.1097267855615,15.4807939427972,17.0889112448112,18.3844905030187,14.7334622511066,10.7325513167657],"EPHE^FMA_ROE(NTMA,-20AY,NOW,FY,\"PORTAGG\",\"MEANR\")":[null,null,null,null,null,null,14.7602970828313,15.1929773886247,13.700399154582,13.6976116734629,14.2196145027033,13.3322794237975,12.7182053290138,12.3434443766015,11.7069295115669,12.0971067278746,8.91575729801009,9.59945410063992,10.6731246326263,11.9407094450377],"TRYUS10Y-FDS^FG_YIELD(-10AY,0,Y,,\"YTM\")":[2.1881,2.2961,2.4752,2.4325,2.6836,1.9185,0.9174,1.5119,3.8776,3.8791],"TRYEU10Y-FDS^FG_YIELD(-10AY,0,Y,,\"YTM\")":[0.5475,0.636,0.2082,0.4294,0.239,-0.189,-0.575,-0.181,2.533,2.004],"TRYZA10Y-FDS^JULIAN(FG_YIELD(-10AY,0,CY,,\"YTM\").DATES)":[42004,42369,42734,43098,43465,43830,44196,44561,44925,45289],"CAGDPY@IN^EE_ACTUAL_ANNUAL(MED,0)":-0.651406479275637,"UAE^FMA_ROE(NTMA,-20AY,NOW,FY,\"PORTAGG\",\"MEANR\")":[null,null,null,null,null,null,null,null,null,null,11.0777984350957,12.3046871114493,11.0383578639711,12.0257898837902,10.3907544258318,8.128455158546,6.76201762780835,11.234942553465,12.9338493595798,13.2251182354264],"EIDO^FMA_ROE(NTMA,-20AY,NOW,FY,\"PORTAGG\",\"MEANR\")":[null,null,null,null,null,null,18.9279585586526,18.0738292901709,16.8092892463225,19.1020740705792,18.4086750507428,15.6625909554988,15.054606398618,15.7733994434049,15.5352440090718,14.4300103255066,11.4814604214712,13.6928560106707,15.6524440673878,14.02340332534],"CAGDPY@SA^EE_ACTUAL_ANNUAL(MED,+1)":2.3,"CAGDPY@GR^EE_ACTUAL_ANNUAL(MED,+1)":-6.9,"CAGDPY@PL^EE_ACTUAL_ANNUAL(MED,+1)":0.45,"USDSAR^STD(FG_PRICE_CHANGE(0,-1AY,AM))":0.0193710854534805,"USDAED^STD(FG_PRICE_CHANGE(0,-1AY,AM))":0.00604776415315072,"TUR^FMA_ROE(NTMA,-20AY,NOW,FY,\"PORTAGG\",\"MEANR\")":[null,null,null,null,14.5323662756041,15.0832531129689,15.8676026141806,14.4769185864537,15.0590425800443,13.6524897976729,12.866544620472,12.7726870869254,12.8458107179109,15.2051271731034,14.7086929252537,14.8395467674489,12.8830286544733,18.572493417843,24.1409635144245,25.8460088493027],"ECH^FMA_ROE(NTMA,-20AY,NOW,FY,\"PORTAGG\",\"MEANR\")":[null,null,null,14.1776881603624,11.2798802315493,14.2628883913247,14.4661394368492,14.0754868016221,12.4952890187187,10.8480668279512,9.37758339699264,9.57060991333475,8.68386650455443,9.38392046774864,11.2778516938703,9.83590954451218,8.75463942854792,10.603942137045,12.7877329372984,13.7700879441955],"CAGDPY@SA^EE_ACTUAL_ANNUAL(MED,0)":3.19136442056759,"SET-BKK^FMA_ROE(NTMA,-20AY,NOW,FY,\"PORTAGG\",\"MEANR\")":[19.4775253074283,16.7129326073384,14.8656028990892,14.4266077076695,11.0560385715565,13.1789961604636,14.9486867959632,14.3192952203821,15.3579090829836,14.4834347566328,13.1977119976914,12.8261347373446,12.4445057567564,12.4919200136172,12.5523899281401,10.9395949217405,8.38849749810761,9.94747027091188,10.1243577068579,9.34877442177023],"CNYA^FMA_ROE(NTMA,-20AY,NOW,FY,\"PORTAGG\",\"MEANR\")":[null,null,null,null,null,null,null,null,null,null,null,null,12.0357109832906,13.2280587166858,12.9587909941324,13.4754556306809,12.9930414974506,13.7625167438192,13.3621598994692,12.0173796099271],"TRY10Y-FDS^FG_YIELD(-10AY,0,Y,,\"YTM\")":[null,null,null,null,null,null,null,null,null,null],"CAGDPY@VN^EE_ACTUAL_ANNUAL(MED,+1)":null,"CAGDPY@ZA^EE_ACTUAL_ANNUAL(MED,+1)":-1.9,"CAGDPY@PH^EE_ACTUAL_ANNUAL(MED,+1)":-2.4,"CC_GR^FG_COMPANY_NAME":"Greece","USDSAR^FG_PRICE_CHANGE(0,-3AM)":-0.010663271,"USDAED^FG_PRICE_CHANGE(0,-3AM)":0.008177757,"USDTHB^FG_PRICE_CHANGE(0,-3AM)":-1.5801966,"USDCNH^FG_PRICE_CHANGE(0,-3AM)":0.49533844,"USDEUR^FG_PRICE_CHANGE(0,-3AM)":-2.020204,"QAT^FMA_ROE(NTMA,-20AY,NOW,FY,\"PORTAGG\",\"MEANR\")":[null,null,null,null,null,null,null,null,null,null,16.7779984816015,14.8814458142908,12.1435908718223,12.1306553272553,12.3947412104099,11.6446378155882,11.2380998666164,12.7317850147387,13.2901313577645,12.1192289718939],"EWM^JULIAN(FMA_ROE(NTMA,-20AY,NOW,FY,\"PORTAGG\",\"MEANR\").DATES)":[38352,38716,39080,39447,39813,40178,40543,40907,41274,41639,42004,42369,42734,43098,43465,43830,44196,44561,44925,45289],"TRYPH10Y-FDS^FG_YIELD(-10AY,0,Y,,\"YTM\")":[3.8633,4.1,4.6281,5.6986,7.1730304,4.847582,3.4208684,4.796723,6.9293385,6.0028777],"TRYTR7Y-FDS^FG_YIELD(-10AY,0,Y,,\"YTM\")":[7.979133,10.679033,11.110786,11.586128,15.896213,12.034795,12.534946,23.870693,7.323803,21.984322],"CAGDPY@VN^EE_ACTUAL_ANNUAL(MED,0)":null,"CAGDPY@ZA^EE_ACTUAL_ANNUAL(MED,0)":-1.6,"CAGDPY@PH^EE_ACTUAL_ANNUAL(MED,0)":-2.56663776811855,"USDSAR^FG_PRICE_CHANGE(0,-1AM)":-0.018656254,"USDAED^FG_PRICE_CHANGE(0,-1AM)":-0.0013589859,"USDTHB^FG_PRICE_CHANGE(0,-1AM)":-1.0905147,"USDCNH^FG_PRICE_CHANGE(0,-1AM)":0.049448013,"USDEUR^FG_PRICE_CHANGE(0,-1AM)":-1.2947619,"USDBRL^FG_PRICE_CHANGE(0,-1AM)":1.5699863,"USDMXN^FG_PRICE_CHANGE(0,-1AM)":-2.6649594,"USDMYR^FG_PRICE_CHANGE(0,-1AM)":-0.4036963,"USDPLN^FG_PRICE_CHANGE(0,-1AM)":-2.2123933,"USDIDR^FG_PRICE_CHANGE(0,-1AM)":-1.069355,"FC0000MX^FMA_EPS(NTMA,-20AY,0,CY,,\"PORTAGG\",\"MEANR\")":[12.7623750851153,17.4927009872891,24.3227140078413,28.6358691988307,18.3981121787071,21.1225586549364,25.2833135475083,25.3632619889916,28.0716519822771,26.2005304543781,23.6403453539385,20.9545559014505,19.8032110904755,23.4173783162506,25.5454576160172,25.3691273734602,22.3569609127116,28.1816282016733,32.5319871434715,39.4423843156453],"MCHI^P_PRICE_RETURNS_PR('52W',2,-10AY,0,AM)":[16.639328,17.776812,5.381489,1.470685,-0.84475875,6.403947,14.160466,17.523539,27.057302,38.168217,40.883923,24.781227,13.1021385,-5.8160543,-8.4566,4.608202,0.5939007,-5.931324,-22.262371,-24.25785,-18.38435,-25.965279,-34.431744,-27.378284,-15.693295,2.1144032,9.713423,1.967454,-1.9312918,-1.1521935,21.515703,28.934502,22.504997,14.028347,37.014805,37.021183,35.971867,27.395857,35.707485,36.114906,50.90796,52.292847,61.54125,47.075798,44.64332,38.855457,33.966614,26.183247,9.449041,2.112031,-6.087053,-16.196419,-16.786224,-18.227594,-20.085907,-15.212947,-10.883724,-2.8486252,-15.793127,-12.6157465,-4.070014,-3.8015604,0.11618137,11.152053,10.192574,22.381329,21.334648,11.387277,-14.802295,-5.7964444,10.013747,12.940884,21.640968,31.500149,27.551197,35.705017,35.73797,28.149246,33.0595,48.15413,62.82065,38.109146,29.425371,24.482954,9.24809,-8.224588,-6.0604277,-5.2671614,-13.604683,-22.022104,-28.091759,-34.49796,-34.050415,-36.76446,-37.403168,-33.50398,-30.712282,-26.197798,-31.91631,-45.10921,-34.65069,-22.781658,-13.529009,-18.287546,-8.783579,-2.506572,-4.7405124,-5.9237003,-11.235386,-9.092623,-2.9498756,8.627391,-2.1634161,-11.125827,-28.37757,-21.68737,-11.8726845,-17.003792,3.9025784,-5.902404,-5.102915],"KSA^FG_TOTAL_RETURNC(-10AY,0,AM)":[null,null,null,null,null,null,null,null,null,null,null,null,null,null,null,5.9968233,-7.2499094,-1.1916816,-17.48873,1.9385576,10.838806,2.2592664,3.943801,-1.276958,-1.0945618,-4.6095076,-4.224533,-3.6406636,16.241419,6.6694856,-3.1865776,4.291618,-2.7208984,1.1725426,0.6438613,1.7593026,3.6538482,-1.7706573,3.0156016,-4.0878115,0.118386745,1.4307022,7.168174,1.2127995,2.4328232,9.783769,-2.9383242,2.0362496,3.8170457,-6.6560984,-2.3090005,-1.703161,-0.14144778,3.0639052,11.789322,-0.062406063,1.2176037,7.6496124,-6.5902653,5.405581,-0.82208514,-4.766136,-7.4603615,-3.7285864,5.4082274,3.368795,1.5559196,-7.7561436,-22.145325,8.444441,6.188524,5.3418756,1.154995,4.677713,5.0668597,1.9089103,0.9858608,2.263701,1.117146,2.6830792,4.8570633,8.795071,2.7216315,2.9024363,-1.3381362,6.572771,2.0313263,4.5814395,-1.3532102,-4.528594,10.245824,1.5572906,3.3954024,6.3559294,-9.960156,-5.614245,0.16528368,7.6850653,-8.975476,3.9923072,-6.0592117,-8.630669,5.6644797,-2.190715,-5.0592957,12.628376,1.9467592,2.5326848,0.7395029,-3.836131,-3.250432,-4.5049667,5.810237,5.894208,1.9299865,5.3676963,0.5610466,-3.5706341,-1.5274227,-1.602006,1.9151568],"EPOL^FG_TOTAL_RETURNC(-10AY,0,AM)":[-4.1553793,-0.34270287,0.8940816,-7.3619604,-0.11037588,-7.6773643,-8.040815,4.8823714,-3.3432066,8.493876,4.1162133,-9.534878,-1.9236565,-2.6443362,-1.6296983,0.09204149,-9.999996,-7.0753517,-10.901367,12.132586,9.760178,0.25405884,-12.214899,-1.7898381,2.0650625,7.043886,-2.26537,-0.883013,-7.850778,8.942604,8.225357,9.822369,7.040906,-1.4666677,9.021198,-0.7861018,6.6153646,-0.23547411,7.5924516,-1.3162732,-1.4079273,1.6508222,10.405707,-5.988431,-8.251894,4.14201,-11.325759,-6.587708,2.1967888,2.7765393,3.1372547,-4.816222,-1.420337,6.080818,3.2258034,-3.2083333,2.2815347,-0.7154882,-9.580332,9.287703,1.1602998,-12.701792,3.64964,1.0798216,0.8360386,-1.6941309,3.405273,-7.305187,-35.001255,15.16552,-0.73528886,15.180755,1.653862,5.9849024,-6.2499943,-9.239763,11.275768,11.23004,0.78492165,2.4402857,-6.842375,6.0935855,8.256412,1.45787,-2.106744,2.7737975,5.281532,5.1933646,-12.815124,-2.4328172,9.585619,-7.7904344,-8.00395,-1.9334078,-14.676893,-5.9554935,-4.063362,-1.722908,-7.9620123,-12.380958,30.978262,4.146993,11.351347,-3.3980548,-9.359294,18.295216,5.0380826,7.808137,8.4842205,-8.106815,-9.548521,8.663225,13.938749,8.34105,-6.761628,6.8460703,0.9721637,2.013123,10.982418,-7.377201,3.6989808],"EWZ^FMA_DIV_YLD(NTMA,-10AY,0,AM,\"PORTAGG\",\"MEANR\")":[3.7721534909077,3.6724969616498,3.73063472219613,3.72535998650366,3.78910106755774,4.23500721272727,4.12277516836964,3.96272351405083,3.9112826037615,3.65560803886743,3.67466122706382,3.88306512293279,3.85574442396407,4.16378708807046,4.28317121504718,4.02511292071434,3.90968141867775,4.13985489386586,4.94739160380793,4.25983988126642,3.27416057008348,3.10774318811618,3.39980673689349,3.45663343874052,2.96270675904668,2.99745912705934,3.17370504719278,2.87131914725019,3.15818018165221,3.68104203405585,3.37484935919109,3.31815526873272,3.6343308778012,3.68740104538116,3.77189342152939,3.69819462793424,3.50348510106026,3.37258072560773,3.11479570760413,3.18641756921999,3.41703934926218,3.57635972525449,3.28266055389567,3.37924466425463,3.51286744391933,3.60937937928288,3.85251722569635,4.47751135125146,4.24098929981883,4.36001871682618,4.33124691087552,4.07287103299217,3.92298661883526,4.07708560221494,3.71391070436455,3.49127995494937,3.30481689420776,3.47810423248706,3.6888977311043,3.09307618195273,3.13767959989313,3.41032000116096,3.22368578960916,3.34479676941303,3.30195585788493,3.13520740576961,3.08138262888437,3.07315416170908,5.20561940186869,4.01540908970612,3.63885559206211,2.86717194568011,2.67903546951963,2.80634900384509,3.36433961240922,3.45706212458234,3.44324826583272,3.34876340280676,3.41912372212985,3.79189117891998,4.34290679957781,4.50421950194961,4.71488978208099,4.72643889075378,5.29250943952693,5.90367595481835,6.51600826636576,6.69700116561001,7.7362573041754,7.47752000928057,7.14297735795135,6.87202387880172,9.12051052294825,8.46453806379781,10.229501302889,10.9032024899589,11.4127013267049,10.6266898715082,10.3579756267771,9.26010194750739,8.46326461816935,7.20211607634006,6.57541464913913,6.45826140805183,7.15921607293884,6.65105653449876,6.51508822406145,6.05251823059295,6.08487533921877,6.02048273468908,5.85894649158667,6.28440632897831,6.11773240171688,5.78642482918959,5.82231806008707,5.85638799766037,6.28454392655381,6.3844814849886,6.69164614422392,7.38241428348789,6.56705296427642],"SET-BKK^FMA_PE(NTMA,-10AY,0,AM,\"PORTAGG\",\"MEANR\")":[14.5446386850911,15.7257280765142,15.9623831048547,15.1146051196524,15.6135908295557,14.908610130844,15.3080307667134,16.1008600071314,15.1353019316766,15.4686431114522,15.5781607705986,15.0714439063349,15.1021129395085,14.084419186214,14.2270590592297,14.4240368919506,13.7573986247217,12.5688727577878,12.6361162723649,13.6157903302458,14.4472508465625,14.6118870837987,14.1794237014037,14.5286279308166,15.1904959968906,15.2753997301494,14.6405024757643,14.5347431404715,14.3932849099911,14.7475658452108,14.9059748253904,15.0811295955032,14.9080257090736,14.837039661089,14.5574128320364,14.8821699003367,14.6413893013363,14.6650443118385,15.5294788515963,15.4386036035317,15.6508901130631,15.7355947719988,16.4294147941333,16.0453262911961,15.5453716014788,15.3797196299298,15.351356326588,14.2342874760862,14.2650153369372,14.5353843625206,15.0225599015108,14.2647045368592,13.9589809111877,13.7966771788958,13.9237088175466,14.6464529142207,14.7834387340653,15.0980193772491,14.5637863931332,15.5902290003296,15.8538024586994,15.1941302102632,15.2752648475294,15.4786461826937,15.7396695229148,15.3080339692189,15.7376733862685,15.206772519027,11.5943334691442,15.0566281792018,18.1372025500655,19.495659467403,19.3228142911555,19.1646555947336,18.9190665429017,17.3274116788625,18.7483587636833,19.3802832060126,20.0709822046765,19.1906983514628,19.5052576725296,19.1049185734868,17.6846863340515,17.8084851528214,16.8880633669716,16.7759693450281,17.5152952444935,17.302861730117,17.4894935215298,17.1089118734041,17.2796444545507,17.6300519578113,17.0491697982809,16.6064907421142,15.916301434614,15.1457237135107,14.8354597960632,15.4875457047327,15.4031765553932,15.1233789432764,15.5600871551818,15.5144145521307,16.0415013512941,15.8946070746456,15.3366922636374,15.6624460396625,15.3643388564591,15.9034520200536,15.8935698092988,15.7186152904575,15.6452013053411,14.5837783751168,14.6288784731208,14.3793021497889,14.2428411770459,14.3601763299654,14.3230820239352,13.7749145556245,14.3357191596964,13.3924969168135,13.5190261658133],"MCHI^FMA_ROE(NTMA,-20AY,NOW,FY,\"PORTAGG\",\"MEANR\")":[null,null,null,null,null,null,null,16.2489448712134,14.7844836511748,14.7477410048543,13.8220324417748,12.2640889399399,12.007707790005,13.3821124977803,13.2137488528733,12.8854006393898,12.3573132047093,11.9734420105209,11.5494541520433,11.5624016356405],"TRYCN10Y-FDS^FG_YIELD(-10AY,0,Y,,\"YTM\")":[3.653331,2.901145,3.070911,3.93859,3.259862,3.197311,3.1948,2.7893,2.855,2.574],"CAGDPY@AE^EE_ACTUAL_ANNUAL(MED,+1)":9.4,"CAGDPY@BR^EE_ACTUAL_ANNUAL(MED,+1)":-1.5,"CAGDPY@ID^EE_ACTUAL_ANNUAL(MED,+1)":-0.66,"CC_BR^FG_COMPANY_NAME":"Brazil","INDA^FMA_ROE(NTMA,-20AY,NOW,FY,\"PORTAGG\",\"MEANR\")":[null,null,null,null,null,null,null,null,15.6108197056138,16.0962597956391,15.7612771435553,15.9055421047158,15.6930916584344,15.3154529754558,14.6122050459717,14.5354846163082,12.8423838949759,15.1612174104353,14.9253869800942,16.0812406780599],"CAGDPY@AE^EE_ACTUAL_ANNUAL(MED,0)":12.15,"CAGDPY@BR^EE_ACTUAL_ANNUAL(MED,0)":-1.41835074191142,"CAGDPY@ID^EE_ACTUAL_ANNUAL(MED,0)":-0.14,"CC_KR^FG_COMPANY_NAME":"South Korea","USDSAR^FG_PRICE(0)":3.7509,"USDAED^FG_PRICE(0)":3.673,"USDTHB^FG_PRICE(0)":36.28,"USDCNH^FG_PRICE(0)":7.28345,"USDEUR^FG_PRICE(0)":0.9182736,"USDBRL^FG_PRICE(0)":5.5508,"USDMXN^FG_PRICE(0)":17.915,"USDMYR^FG_PRICE(0)":4.6875,"USDPLN^FG_PRICE(0)":3.936,"USDIDR^FG_PRICE(0)":16190.0,"GREK^FMA_ROE(NTMA,-20AY,NOW,FY,\"PORTAGG\",\"MEANR\")":[null,null,null,null,null,null,null,null,5.18059570882845,5.02924580688049,6.28451178662672,5.47133635917723,4.56601797799517,3.94646034419328,4.24726660688599,5.81002154172499,5.36711218261452,8.82576684666533,11.0341923380188,13.1253657894167],"TRYVN10Y-FDS^FG_YIELD(-10AY,0,Y,,\"YTM\")":[7.3,6.277413,7.1117578,5.6717234,4.738006,3.5404546,2.4877946,2.059403,4.687226,2.9473283],"TRYTW10Y-FDS^FG_YIELD(-10AY,0,Y,,\"YTM\")":[1.6015,1.015,1.2037,0.9478,0.8648,0.672,0.315,0.7413,1.2812,1.211],"CAGDPY@TR^EE_ACTUAL_ANNUAL(MED,+1)":-2.3,"CAGDPY@KR^EE_ACTUAL_ANNUAL(MED,+1)":3.5,"CAGDPY@CL^EE_ACTUAL_ANNUAL(MED,+1)":-3.2,"CC_MX^FG_COMPANY_NAME":"Mexico","USDSAR^FG_COMPANY_NAME":"Saudi Arabian Riyal per U.S. Dollar","USDAED^FG_COMPANY_NAME":"UAE Dirham per U.S. Dollar","USDTHB^FG_COMPANY_NAME":"Thailand Baht per U.S. Dollar","USDCNH^FG_COMPANY_NAME":"Chinese Offshore Renminbi per U.S. Dollar","EZA^FMA_ROE(NTMA,-20AY,NOW,FY,\"PORTAGG\",\"MEANR\")":[17.9443072677306,20.5348928156755,23.3962979706047,22.9309412159492,18.5257233943907,16.4229233067431,17.9081210683932,18.7154492714901,17.1811698307319,15.8177225487006,15.0179384562795,14.1296467541483,12.9857675631351,13.3471903111701,14.1097872522301,13.616354252195,16.7115371927188,16.932589581546,16.8118349535848,14.5722752976358],"CAGDPY@TR^EE_ACTUAL_ANNUAL(MED,0)":-5.06082493891602,"EWZ^FMA_ROE(NTMA,-20AY,NOW,FY,\"PORTAGG\",\"MEANR\")":[10.902459324937,15.1330068419745,12.2637569805604,16.9213337132468,15.0739650750282,15.0554926171621,15.5613461627174,13.5280238194533,11.6623907171401,12.921670812909,10.9002435918115,10.6345360348741,11.2231596394428,13.1487202255739,15.1975351275066,14.5227361903203,16.6192198371214,20.4560772375546,19.407551500648,18.6086841620772],"TRYSA10Y-FDS^FG_YIELD(-10AY,0,Y,,\"YTM\")":[null,null,3.8912454,3.7299898,4.5715504,2.8775356,2.0844028,2.5113702,4.613973,4.608568],"TRYGB10Y-FDS^FG_YIELD(-10AY,0,Y,,\"YTM\")":[1.8155,2.0248,1.2817,1.2536,1.3339,0.822,0.197,0.966,3.662,3.534],"CAGDPY@TH^EE_ACTUAL_ANNUAL(MED,+1)":2.4,"CAGDPY@MX^EE_ACTUAL_ANNUAL(MED,+1)":-0.5,"CC_MY^FG_COMPANY_NAME":"Malaysia","USDVND^STD(FG_PRICE_CHANGE(0,-1AY,AM))":1.10955593458528,"EWY^FMA_ROE(NTMA,-20AY,NOW,FY,\"PORTAGG\",\"MEANR\")":[15.9616854074036,15.4849098528827,13.8927001282369,14.4039664402004,9.92456164609465,13.4147036931661,14.0364525270903,12.8930845102886,12.4745249796659,11.4149566191569,9.77047682396504,8.83276683126284,9.34985338936219,11.1969769851489,9.7866294798229,7.66840153162665,8.30169258167628,10.1400633970943,7.49218885103669,8.89292284507109],"TRYID10Y-FDS^FG_YIELD(-10AY,0,Y,,\"YTM\")":[7.922017,8.942368,7.89735,6.462641,8.148183,7.263584,5.902206,6.458283,6.936579,6.498571],"EWW^FMA_ROE(NTMA,-20AY,NOW,FY,\"PORTAGG\",\"MEANR\")":[null,null,null,null,null,null,null,null,null,null,null,null,12.2361967072767,12.6640790394995,12.8972143418882,12.0869262494349,11.7827107678683,13.687162530438,13.3394699175221,13.7129718327555],"TRYAE10Y-FDS^FG_YIELD(-10AY,0,Y,,\"YTM\")":[null,null,null,null,null,null,null,null,null,null],"TRYJP10Y-FDS^FG_YIELD(-10AY,0,Y,,\"YTM\")":[0.3138,0.2604,0.0315,0.0465,-0.0051,-0.0208,0.0201,0.0672,0.4224,0.6127],"TRYZA10Y-FDS^FG_YIELD(-10AY,0,Y,,\"YTM\")":[7.9537,9.7513,8.9047,8.58389,9.37766,9.011772,9.174469,9.791837,10.764477,11.358896],"CAGDPY@QA^EE_ACTUAL_ANNUAL(MED,+1)":13.55,"CAGDPY@TW^EE_ACTUAL_ANNUAL(MED,+1)":14.2,"CC_SA^FG_COMPANY_NAME":"Saudi Arabia","CC_PL^FG_COMPANY_NAME":"Poland","USDVND^FG_PRICE_CHANGE(0,-3AM)":-0.47160387,"USDTRY^FG_PRICE_CHANGE(0,-3AM)":1.4453769,"USDQAR^FG_PRICE_CHANGE(0,-3AM)":0.0,"USDINR^FG_PRICE_CHANGE(0,-3AM)":0.22912025,"USDZAR^FG_PRICE_CHANGE(0,-3AM)":-4.426527,"USDKRW^FG_PRICE_CHANGE(0,-3AM)":0.3219247,"USDTWD^FG_PRICE_CHANGE(0,-3AM)":0.6072998,"USDPEN^FG_PRICE_CHANGE(0,-3AM)":1.0916829,"USDPHP^FG_PRICE_CHANGE(0,-3AM)":1.2705564,"USDCLP^FG_PRICE_CHANGE(0,-3AM)":-1.6587794,"FC0000TR^FMA_EPS(NTMA,-20AY,0,CY,,\"PORTAGG\",\"MEANR\")":[9.86463285413856,13.697013097437,15.4857358154397,22.3352325303583,17.0194207562287,19.5831499482532,23.3457716305229,19.9467070950164,22.8671187954567,20.0828803302685,19.5514117112726,17.4011919479576,16.4826621500299,20.8864123256607,19.0848898388226,22.5659659752379,23.2814280899331,19.7583568197709,36.4008275641257,47.716878299101],"FC0000CL^FMA_EPS(NTMA,-20AY,0,CY,,\"PORTAGG\",\"MEANR\")":[13.4345645762327,13.9377456000386,16.9673771165975,22.3266043070326,16.9726142999547,22.0450374886443,30.8805428396108,24.5524085371812,26.1691360625743,23.6838683927762,20.4877824093345,18.4268311165022,17.2536219467367,26.3633049059602,21.6808239098782,17.382962129472,15.4719123326967,18.6829935773988,25.9061727763009,28.7013848912582],"EWT^P_PRICE_RETURNS_PR('52W',2,-10AY,0,AM)":[19.088055,25.197338,12.240267,3.8908362,12.547815,9.642887,8.816719,15.846003,17.225574,7.861829,14.134848,2.3704052,-0.27080178,-17.595364,-12.224859,-2.206552,-9.663916,-10.440678,-20.22882,-17.346066,-10.626507,-10.4427395,-22.83839,-10.340303,-1.3643205,19.9939,15.956318,14.446772,13.140833,18.462503,32.64636,30.648697,22.149479,21.501589,42.037308,31.76099,27.240896,20.20775,23.044765,22.205997,28.714954,22.431576,31.79884,18.648434,18.15498,18.326675,10.704147,5.7924986,2.2457838,4.11278,2.4178267,-8.798915,-10.542303,-8.862173,-12.840623,-9.677887,-7.58754,-1.352644,-7.2423754,-0.6830096,0.56256056,-2.9480875,1.510334,18.225216,25.954998,35.214077,33.020985,24.683344,-11.772042,2.5036454,14.36075,16.944515,23.987484,33.788597,27.050697,23.890078,27.375484,27.204632,41.561626,52.022575,101.02863,77.5643,64.07221,60.06155,50.944283,36.92254,44.1988,39.253174,35.371746,28.138315,18.546068,12.893748,11.143887,-5.15486,-6.5065384,-15.305651,-18.308788,-11.020142,-23.698437,-32.07159,-25.058926,-25.19235,-23.139805,-19.747055,-17.988264,-9.853381,-0.55956244,9.019529,12.668287,0.77718496,12.581385,27.50156,16.293812,21.252144,14.883947,17.148792,24.886204,16.209126,27.451313,26.662779,24.253643],"INDA^FG_TOTAL_RETURNC(-10AY,0,AM)":[1.5476227,3.2819867,1.0700345,-4.619831,6.559038,-5.4454746,7.9758763,3.1036615,-2.995193,0.0,-5.166793,-1.5052319,4.7564745,-3.7898123,-7.5802684,5.6948423,-7.6245365,-0.110054016,-6.8879485,-3.2975733,8.915365,5.3941965,-5.7981434,5.0911903,4.6153307,2.4687052,0.10180473,0.20338297,-11.671173,2.2596717,3.545761,5.875957,6.61186,0.12853146,3.5301566,1.6119003,3.9082289,-0.67786574,2.6112795,-1.098907,1.9005775,2.6046872,5.46633,-5.9043527,-5.252701,3.4761786,-4.633647,1.4918447,1.0037422,4.924357,-3.7885249,-12.224502,8.470035,1.9429564,-0.014269352,-3.3882737,11.81674,1.130271,-5.7837367,4.0261984,-1.6973555,-6.526184,-1.6593635,8.341289,0.5877137,3.4853578,2.2322774,-2.4599195,-35.36413,13.678217,-1.4269233,12.431216,9.944177,5.0777555,3.5336733,1.8669724,4.467356,7.901132,4.576659,3.8900971,-0.6318748,-5.3933144,7.542944,1.8995166,-0.38653612,4.508102,7.6553464,2.1099687,-1.5299022,-5.5529537,7.141769,-5.2877483,0.33632517,-1.2737453,-7.7184258,-4.893303,5.067694,6.283748,0.6004691,-6.4738274,5.375552,-0.9550452,-0.023525953,-5.151725,-4.811507,3.7258983,2.6877642,5.703473,3.524232,-2.9563248,3.8541436,-1.4888823,1.6128898,8.158517,1.7857075,3.2466292,-2.0703137,2.3733616,3.1950116,4.795158,1.206994],"VNM^FMA_DIV_YLD(NTMA,-10AY,0,AM,\"PORTAGG\",\"MEANR\")":[3.47747513251527,3.39816640476386,3.40260182832259,2.95908303817102,3.0143125261248,3.46532456529585,3.02455429132026,3.14062691300825,3.05685237401984,2.93282452830795,2.82977264169403,2.7863469186091,4.14815619479581,4.06853144194334,3.59926456356795,3.03337195739818,2.98098118633461,2.74308481790733,null,null,2.72272928974773,3.14593038541723,3.18438287911873,3.25522395616727,3.10709899813294,3.02746083937256,2.77450619659298,2.57765885952295,2.66682466436244,2.93083180888341,2.90630776574957,3.05556637747703,2.9990710541441,2.63622513413058,2.36966121279787,1.87761103376625,1.56361139184588,1.76684506354282,1.71901441472981,1.85523297325479,1.91777624901664,1.63322483719415,1.53009238612083,1.81365169415972,1.69061251273069,1.94592185927896,1.74168276279057,1.63880954045873,1.79903325250398,1.51602796850531,1.73082788180667,1.72450328007213,1.95616960979374,1.58508266757721,1.7909513862762,1.6967421672335,1.59014267636571,1.59451659741918,1.52507640090095,1.6204190482458,1.76601798737808,1.92224972072335,1.89017990840498,1.8333576083922,1.67763905600155,1.61679882542281,1.49597977611164,1.58048920027443,2.0396190420403,1.86996615920184,1.38323281885701,1.34890653989547,1.36211084165563,1.39088245568174,1.29966455654329,1.34808725494961,1.33688385928881,1.22525496221865,1.17838519944888,1.18400112530126,1.17206365290449,1.11011787752004,1.21339664470742,1.21571532171733,1.46118576053948,1.40808897659643,1.38742215020831,1.42213707148922,1.36529124321902,1.49641968144767,1.5747981507941,1.68370541583529,1.82603732950128,1.68065202975751,1.82014615470568,1.93318141798525,1.95157852348953,1.92679566997727,2.15196866391064,2.47976890749429,2.58118127798106,2.65946451207201,2.63419066252279,2.56749621585302,2.45542535522181,2.50677924868249,2.54043185869302,2.6132855295918,2.6605324356601,2.5625395079111,2.66901223542294,3.19166473263647,2.92159075257869,2.97774950669456,2.7483540513769,2.80956639105023,2.29889774550956,2.46604167454922,1.98001761123256,1.96748601407057,1.96638461469689],"EPHE^FMA_DIV_YLD(NTMA,-10AY,0,AM,\"PORTAGG\",\"MEANR\")":[2.08113165171599,2.02267842349967,1.93952063213484,2.28279379222315,2.15980190237202,2.18385661517592,2.0944308429981,1.95316770537233,1.91589303680062,1.88970465284607,1.90655196537701,1.97522565023587,1.90075331753203,1.97225649118413,2.02634106692317,1.99018517550084,2.06689469671552,1.97541610382437,2.15617880876284,1.99087669009222,1.7932233203465,1.80045820352476,1.75193114088749,1.6790820728257,1.634360395285,1.60608088552532,1.6713223158078,1.61843328023374,1.75394645974115,1.79654364080281,1.64750621868244,1.64302393890449,1.63853808504665,1.61185197100206,1.59115463999494,1.55145878749328,1.56570015230186,1.5584586446659,1.52153284967249,1.43233326801884,1.49776539770048,1.56562572873105,1.51380536497473,1.55025987104687,1.60280096671104,1.75021552110181,1.74878688657461,1.82261239103489,1.78551969981092,1.76630355115084,1.85111632560193,1.891806184936,1.86163592182154,1.76220172878,1.65493219109146,1.71416520313128,1.75033808046828,1.74253761298338,1.84299552021041,1.7617251783078,1.69660429985852,1.81196463731574,1.85366850458658,1.85850026329014,1.86078773425767,1.87785552786674,1.855349939626,1.92731358722969,3.06358424091898,2.42031955191939,2.4237088070967,2.08175765447784,2.10465969630178,2.05970142794432,2.08439245823108,1.93579383300246,1.63773833731412,1.66676469113415,1.68744816437505,1.78772390015426,1.88009830836936,1.9481816979547,2.15389521247719,1.93254601357532,2.01095478019643,2.00169162878476,1.86032060776475,1.79185955026512,1.76804820421632,1.75148595702875,1.80628720837395,1.81220166741682,1.95573110364152,2.04537656099469,2.35407843548825,2.32808017941556,2.47058341924814,2.23873020420532,2.3883818366195,2.58982668676414,2.46612206123882,2.4263659528298,2.22503012820161,2.32623949935162,2.72804267021466,2.80583091421921,2.73147106534544,2.94388128158334,2.95935128466486,3.04223512034299,2.90109431191883,2.8986249249216,3.07101937811747,3.18415641303445,3.16716233269277,2.82222567578601,2.73826706835552,2.96822686079127,3.16222029624625,3.36616879524834,3.25622146311468],"EWY^FMA_PE(NTMA,-10AY,0,AM,\"PORTAGG\",\"MEANR\")":[9.89302012234991,10.3204556042667,10.2859278514589,9.21332816977369,9.71169919221533,9.62494754776205,9.36033783739593,9.80209143121865,10.0758799419079,10.3368541095593,9.91903652286323,9.48366687219627,9.56775285460386,9.38634249965153,9.73052715931232,10.114942771984,10.1702951318748,10.0212611279593,9.87924729711874,10.3157805808976,10.659205535557,10.618196604883,9.81165452435716,9.83837940227898,10.1131171433605,10.1962014544404,9.97526808618767,10.0645693093739,9.59502799894762,9.88681188719256,9.8106127026009,9.42228169265711,9.77596318952646,9.07750916943133,9.38861323011225,9.52889008410901,9.61534209841146,9.12591895057914,9.30013344991431,9.38023551320783,9.38721870526981,9.15080351852205,9.27347880744517,8.97438295611793,9.10000512729613,9.07416234809677,8.77879084476915,8.51617814465525,8.31453193513836,8.08660637786956,8.28670760448809,7.82073268760829,7.95784079528809,8.37080320119731,9.1490788010211,10.2608963123745,10.5765086552877,11.1727993814722,10.5424235730081,11.0777903033991,11.2940842105886,10.5808368153478,11.1462421735701,10.9410045134117,11.516753646495,11.4964630089543,11.6665018349985,11.3751203914005,7.63365754761157,10.8506449563759,11.8809181888143,12.7359826042865,12.7862466922167,13.1041799345352,12.9341533411569,12.1578578688591,12.5626776691912,13.216504288911,14.4434546711981,13.8542482965583,13.1859641058292,13.1787553469764,11.2092769983371,11.3269430783804,10.9682170466685,10.0859589748706,10.3125362306583,10.110565960793,10.0791919756512,10.3864847101005,9.71934859578804,9.50409833457675,9.3562607304099,9.21269178838142,8.77651631102959,8.25299487495067,8.39851471923446,8.81321177289602,8.56778128919883,9.00577825123698,10.6760257796294,10.8772741940112,11.5716177678825,12.8267110641858,12.9592312946786,14.3301047662359,13.1648127700203,12.7695424130891,12.1434886854195,11.1256157874178,11.1582351697521,10.2498545681889,10.2011573527586,10.1995880125262,9.64136164783705,10.5282693239734,10.3970283828222,9.87920804853807,9.95654329022489,9.76888877476839,9.5626807818099],"QAT^FMA_PE(LTMA,-10AY,0,AM,\"PORTAGG\",\"MEANR\")":[null,null,null,null,null,null,14.6141315995338,15.141652399676,14.8074823867044,14.7892368614645,14.8007463054535,14.5129146806712,14.653096465998,14.2450454227316,14.0042745707484,14.1118932362859,13.049723963648,10.9091113275245,10.5197271803044,12.2253947552985,12.1381864887064,12.2516536872355,12.0145055584078,12.1808022399454,12.7092678147111,13.5733314588944,12.7961369105129,13.5027461594585,12.9786938007699,13.9705090822404,15.1601079675308,14.9374596427881,14.7438808633744,14.6811555444799,14.6158289639664,14.0545448508712,14.2337210585926,13.9522477508164,12.7725404206335,12.6549142232253,12.3994315317129,13.5677039864174,13.6564118682146,13.4653287366503,12.814113602608,12.8335071199698,12.5656964727328,12.5708900832379,12.5794313841229,12.8103223924326,13.0665021983582,13.4096721525673,13.9677231501556,14.2618641585205,14.7747883795401,13.3323773952105,13.5268316435781,13.6317509337455,13.3132047174875,13.6927144695453,13.8498630895936,13.2858016479767,14.0239589978433,14.2296104034892,14.1735068601381,14.4706422980165,15.3983305448433,14.21670456157,13.6014479585097,13.6508831962907,14.2669321104617,14.8386472642615,15.5187134613235,16.265363418858,16.1144158054588,16.5524648007958,17.3012052230105,17.3749569959527,17.6533444223755,16.4793937576362,16.7723060466381,16.651114864299,16.3550772077683,16.019302680413,15.5080429053992,15.502792407377,15.3558695241333,15.5160591193506,15.5972462382052,14.91549823655,15.5210969723377,16.0839453811356,16.2319532714455,16.0208055599076,15.3523758059433,14.8549474964332,14.6079224188883,15.7259921103922,14.6280479208925,14.0859095495316,13.7987669095305,12.3154730886749,12.2147641974955,11.9734780614079,11.6604184399478,11.5979297011625,11.788892452637,11.8182812115295,11.8798334368989,11.9755004739526,11.6834192682602,11.2227509227079,11.6810935392465,11.451180279396,11.6219825526401,11.4621258239406,11.4459044626971,11.2284039030464,11.0733729111057,10.895448311031,11.0731880800633],"ECH^JULIAN(FMA_DIV_YLD(LTMA,-10AY,0,AM,\"PORTAGG\",\"MEANR\").DATES)":[41838,41870,41901,41929,41962,41992,42020,42054,42082,42111,42143,42174,42202,42235,42265,42296,42327,42356,42388,42419,42447,42479,42509,42538,42570,42601,42632,42662,42692,42723,42754,42783,42811,42844,42874,42905,42935,42965,42997,43027,43056,43088,43119,43147,43178,43209,43238,43270,43300,43329,43362,43392,43423,43453,43483,43515,43543,43573,43602,43635,43665,43696,43727,43756,43788,43818,43847,43880,43909,43938,43970,44001,44029,44062,44092,44123,44154,44183,44215,44246,44274,44305,44335,44365,44396,44427,44456,44488,44519,44547,44580,44610,44638,44670,44700,44729,44761,44792,44823,44853,44883,44914,44945,44974,45002,45035,45065,45093,45126,45156,45188,45218,45247,45279,45310,45338,45370,45401,45429,45461,45491],"EWT^FMA_ROE(NTMA,-20AY,NOW,FY,\"PORTAGG\",\"MEANR\")":[14.2091388164968,14.0985457137066,14.4590710347444,16.4807805647515,6.19596421132224,11.6376050166428,14.2189185035578,11.6486429529888,11.5182166875632,11.7877597873521,13.127345554296,12.3828245738855,11.7924660472797,12.5855614416921,11.5125837952604,10.8992590506713,11.6240969222969,14.7288182676736,12.9426503256061,11.9186960978366],"TRYMY10Y-FDS^FG_YIELD(-10AY,0,Y,,\"YTM\")":[4.131911,4.345605,4.195897,3.902544,4.235642,3.300551,2.804181,3.573893,4.131847,3.727505],"TRYAU10Y-FDS^FG_YIELD(-10AY,0,Y,,\"YTM\")":[2.81,2.88,2.76,2.63,2.315,1.375,0.972,1.671,4.051,3.955],"TRYBR10Y-FDS^FG_YIELD(-10AY,0,Y,,\"YTM\")":[12.319731,15.989595,11.062725,9.887577,8.936093,6.883678,6.961219,10.970291,12.900059,10.455909],"CAGDPY@KR^EE_ACTUAL_ANNUAL(MED,0)":1.90344221708053,"USDSAR^FG_PRICE_CHANGE(0,-6AM)":0.007998943,"USDMXN^FG_PRICE_CHANGE(0,-6AM)":4.613149,"USDPLN^STD(FG_PRICE_CHANGE(0,-3AY,M))":3.24817526568623,"EPHE^P_PRICE_RETURNS_PR('52W',2,-10AY,0,AM)":[2.6435852,15.7370205,7.647276,5.9109926,16.379774,22.17493,31.425262,28.732765,22.133743,17.319763,11.151934,9.757471,6.797397,-4.7870755,-8.188504,-3.298086,-10.196501,-11.44771,-24.540293,-20.977861,-11.011809,-12.527323,-9.873891,-0.24580956,3.9022684,10.742176,5.651033,5.322337,-1.5453458,-5.320054,13.133919,1.9787788,-4.274994,-2.0710707,0.016963482,-3.929472,-8.931905,-10.525471,0.8510351,0.5518675,11.713612,21.026194,17.617214,10.028374,1.748538,-6.0922565,-7.820696,-16.067331,-14.641434,-9.556848,-17.448742,-20.17482,-16.997343,-16.325516,-10.201656,-7.7740135,-2.5710523,2.322173,-1.3896942,15.390706,18.523705,5.898595,12.33691,19.059086,14.034855,8.769178,-0.8015454,-4.705495,-41.61412,-28.447025,-25.413197,-21.733284,-25.32677,-18.170755,-20.88018,-21.682436,-8.0733595,-2.3444593,-3.5977125,-3.428167,51.17606,20.20465,21.208286,13.081348,6.173098,7.7769876,14.942169,22.45177,2.810955,-0.14543533,-2.0772815,7.431674,3.2805443,3.1819582,0.9803057,-14.616156,-9.806991,-3.5363436,-15.658599,-27.326738,-20.895714,-20.260567,-5.8511734,-13.951672,-13.218993,-13.018078,-5.780822,-1.0934174,8.111525,-8.491987,-4.1501403,6.202626,0.79057217,2.991581,-7.5094104,0.9768367,7.3079824,-1.6949713,0.071144104,-4.3907046,-2.388996],"EPHE^FG_TOTAL_RETURNC(-10AY,0,AM)":[3.439808,3.647089,-0.77620745,-2.3468018,2.8838396,-1.3670743,6.0949802,4.227805,-2.5292337,2.5703907,-1.5274525,-4.3625774,-0.69943666,-6.3398304,-3.6722422,2.1621585,-4.4555783,-3.0749083,-9.280139,9.148371,11.429441,-0.6838083,1.4596462,5.103147,4.1689396,-0.17417073,-8.1007,1.8443227,-10.972034,-6.4911785,8.401978,-0.4143238,2.9123306,2.0213723,3.622985,0.95602274,-1.2551785,-2.116549,3.79107,1.5422106,-1.119101,1.3341546,5.348587,-6.0368776,-5.645168,-5.8404565,-0.4235983,-6.100881,0.4223466,3.3646107,-4.945225,-1.8110037,2.8169036,2.1543622,11.373806,-2.0367146,-0.32210946,1.85076,-6.3455343,9.313154,3.1489372,-7.645762,0.8338213,2.215004,0.26004314,-2.5627375,0.029611588,-4.4391813,-38.928467,25.0,-2.5152087,14.706373,-1.5328467,1.1489987,-2.4184763,1.0890007,17.682016,4.5207977,-2.2094429,-4.271126,-4.397029,-0.60872436,-1.7012596,7.4059486,-7.8844905,2.6769996,4.459691,7.2906375,-1.1937559,1.2694359,-3.8685918,4.3117285,-7.8383327,-0.2990067,-3.7987292,-8.004272,-3.9428592,9.815586,-8.667385,-7.5523973,8.682632,1.0185361,13.502943,-4.5172396,-5.5615783,-1.7973185,4.2056084,-2.875644,4.400313,-7.3853016,-3.9871097,2.4328828,2.1293998,4.2501926,1.930213,4.770601,-0.1452446,-10.036367,4.7695994,-6.047493,6.586075],"EPOL^FMA_DIV_YLD(NTMA,-10AY,0,AM,\"PORTAGG\",\"MEANR\")":[4.1085637119195,4.08794964260632,4.0680230883807,4.13009775379636,3.97140542179511,4.04275089022383,4.1490033430902,3.78527282829125,3.67777321832941,3.36512480965345,3.32584504609777,3.66103745753174,3.57303210067652,3.65443075513349,3.59036772114754,3.61875717940663,3.96252595866625,4.0901652198817,4.39951091308666,4.03090853469608,3.69262642948316,3.58215374941484,3.90480577073427,3.93404441754884,3.66466888593825,3.54546699309786,3.60634923489956,3.40828098962442,3.40957523336054,3.08863158647497,2.86815145312531,2.6191874617357,2.36015206446711,2.43520917451201,2.49860158805786,2.49391922417028,2.3995322722504,2.45632657138595,2.58370706809438,2.43086401226215,2.47838861438625,2.80963634653697,2.7350767129168,2.99140171729266,3.12760679502391,2.95371390030217,3.08783176405264,3.2430457535806,3.0148792432467,2.9197478581846,2.9908318775063,3.15613450214597,3.19354304446307,3.06067488498032,2.99990474317006,3.05198292393172,3.04113778534822,3.0432453441107,3.34604070173352,3.22845077457324,3.29134742208559,3.79924126860793,3.55628513119053,3.50554998720027,3.36112725302759,3.55212685865634,3.55178777757133,3.68066268201441,4.81254498105331,3.67262498387081,3.17620711211522,2.4417261353035,2.3319323974236,2.74097557257455,2.91986490850312,3.30786323402758,2.56631800889466,2.77136233639657,2.90234031103064,2.81939584751705,3.04402331740553,2.92829060622663,2.86674257060256,3.00395305743639,3.16894518781321,3.00375780495215,2.97408301706813,2.98921402952442,3.19571915515567,3.42723163764423,3.10898900921925,3.41226757458336,3.53504329149969,3.4769262192792,3.98888237729632,4.40886369453898,4.28891928260792,4.29134325787191,4.60561787993996,5.15259466307898,4.28631677827026,4.29950379587129,3.98473689143206,4.22233054307943,4.80891836983066,4.44104594595716,4.26283576903931,3.89443905247198,3.80248565044706,4.02243292791281,4.37788430328963,4.20184324851095,4.33962197634142,4.66335247982871,5.16726605952117,4.7704452506998,4.97740801618858,5.0467521046777,4.99279619031386,5.22842388201987,5.1528611221742],"EPU^FMA_PE(LTMA,-10AY,0,AM,\"PORTAGG\",\"MEANR\")":[15.8289665684879,15.6583464440042,15.5878887508373,14.2496344830412,14.0068773952322,14.0604307432202,14.969922229735,16.4554103061676,16.1056718385595,15.6339653039638,15.5242360107128,16.2813490407163,15.7159337579577,14.9584229420356,14.5564926543739,11.6987591480336,11.3207739497894,10.3708259186498,13.2209342539808,17.8047011440739,22.5098253591353,22.0077854756056,21.0172605938563,20.1619458359601,19.8904059009179,18.9426184601071,17.6795522695259,16.6449711371036,15.6747226212148,14.9158809190457,15.279974401797,16.937891261651,16.1776916477441,15.4555348409981,15.2266855240617,14.780510822176,14.9190573693755,15.2650820808148,16.6052645147645,16.495310851076,16.6527639479502,16.4200066452177,17.5189675442393,18.6939935479772,19.45657603164,19.113982005915,18.4210607942983,18.0525300740067,17.3238797975977,17.3075158026106,16.3322275787972,16.0817674680611,16.9561235322995,16.93885823984,17.8282426335111,19.4974517001666,20.0251761642008,19.4007241632317,18.2794445714115,17.7747507576003,18.3632048722809,17.8197702130013,17.2666583790382,17.0617567882393,17.0075767908087,17.4714012764347,16.9697327177505,17.2868079055186,15.7583052886333,15.9093974125302,17.6434728898504,20.9154095627353,22.4563077930249,29.3409299917961,36.1484946451267,37.466865158214,43.211964996096,52.7747094755527,48.4072258459308,60.7854607674778,64.4142062158701,58.3023013865795,52.8472400317079,46.1090462181309,40.0548069486311,34.4577354397993,29.3783075285228,24.5756686406919,18.4834934305733,13.5024582553081,12.6868164001837,12.4288645124653,13.507443702062,12.772134524438,11.7631859309266,11.1419720517433,10.2371573450029,9.98405003868437,9.38741021378515,9.13967949679132,9.99021395560296,9.14318942211482,10.482752042666,9.7030728824847,9.38401560829206,9.63853985410763,9.60847942111695,10.0848447379961,10.6075798655014,10.8072034606704,11.0025935625685,10.6987117041647,11.8345568568955,14.578703754807,14.6422617908353,15.0998704609938,15.2255952461039,15.1152520684276,15.4528537565204,14.3525176614828,14.1924847656696],"WL-FDS^FG_PRICE_CHANGE(0,-1AM)":-0.987925356750818,"FC0000TR^FG_PRICE(0)":257.87628,"VNM^FG_PRICE(0)":12.05,"MCHI^FG_PRICE_MAVG(0,,,,30)":43.072666,"UAE^FG_TOTAL_RETURNC(0,-6AM)":-0.65754056,"EWY^P_PRICE(0)/P_PRICE_LOW_PR(0,,,,,,\"PRICE\",\"INTRA\",\"52W\")-1":0.1971004,"EWT^P_PRICE(0)/P_PRICE_HIGH_PR(0,,,,,,\"PRICE\",\"INTRA\",\"52W\")":0.9211302,"EPU^FG_TOTAL_RETURNC(0,-3AM)":4.9656153,"ECH^FG_TOTAL_RETURNC(0,-1AM)":-0.56839585,"EWJ^P_PRICE(0)/P_PRICE_HIGH_PR(0,,,,,,\"PRICE\",\"INTRA\",\"52W\")":0.9707902,"URTH^FMA_COS_DOWN(\"EPS\",\"1M\",+1,NOW,,,\"PORTAGG\",\"MEANR\")":607.0,"TUR^FMA_COS_UP(\"EPS\",\"1M\",+1,NOW,,,\"PORTAGG\",\"MEANR\")":11.0,"EZA^FMA_COS_UP(\"EPS\",\"1M\",+1,NOW,,,\"PORTAGG\",\"MEANR\")":13.0,"EPU^FMA_COS_UP(\"EPS\",\"1M\",+1,NOW,,,\"PORTAGG\",\"MEANR\")":11.0,"UAE^FMA_RBICS_REV_CURRENT(30, LOC, \"PORTAGG\")":60.6446535047582,"CNYA^FMA_RBICS_REV_CURRENT(30, LOC, \"PORTAGG\")":20.828273971965,"EPOL^FG_ROE(0)":13.3025372213122,"TRYMX10Y-FDS^FG_YIELD_NAME":"Treasury - Mexico Benchmark Bond 10Y","REFAEREPO-FDS^PROPER_NAME(0,,,\"SECURITY\",\"NAME\")":"United Arab Emirates Repo Rate","REFEUREFI-FDS^FG_YIELD(NOW,,,0)":4.25,"REFMYON-FDS^(SUBARRAY(NOT_NA(NO_REPEAT_F(FG_YIELD(NOW,-10AY,D))),0,1)-SUBARRAY(NOT_NA(NO_REPEAT_F(FG_YIELD(NOW,-10AY,D))),1,1))*100":25.0,"TRYIN10Y-FDS^PCTCHG(FG_YIELD(0,,,,\"YTM\"),FG_YIELD(-3AM,,,,\"YTM\"))":-3.4489932,"TRYPE10Y-FDS^PCTCHG(FG_YIELD(0,,,,\"YTM\"),FG_YIELD(-1AM,,,,\"YTM\"))":-2.9241042,"TRYAE10Y-FDS^FG_YIELD(0,,,,\"YTM\")":null,"TRYBR10Y-FDS^FG_YIELD_NAME":"Treasury - Brazil Benchmark Bond 10Y","TIPSCL10Y-FDS^FG_YIELD(0,,,,\"YTM\")":2.8277302,"CC_TW^IMF_IFS_RCPI_Q(0)":null,"VGK^FG_FCF_YIELD_NTM(0)":5.1987539643317,"VNM^FMA_PE(LTM,0,,,\"PORTAGG\",\"MEANR\")":16.8554292070395,"SET-BKK^FMA_EVAL_EBITDA(NTMA,0,,,\"PORTAGG\",\"MEANR\")":9.19981733133014,"MCHI^FMA_PE(NTMA,0,,,\"PORTAGG\",\"MEANR\")":9.49651424379317,"EZA^FMA_EVAL_EBIT(LTMA,NOW,NOW,M,\"PORTAGG\",\"MEANR\")":12.1460392320385,"EWY^FMA_DIV_YLD(NTMA,NOW,NOW,M,\"PORTAGG\",\"MEANR\")":2.07320909980451,"EWT^JULIAN(FMA_DIV_YLD(NTMA,NOW,NOW,M,\"PORTAGG\",\"MEANR\").DATES)":45471,"EPOL^FG_FCF_YIELD_NTM(0)":null,"KSA^FG_COMPANY_NAME":"iShares MSCI Saudi Arabia ETF","^FG_YIELD(-10AY,0,Y,,\"YTM\")":[null,null,null,null,null,null,null,null,null,null],"USDEUR^FG_COMPANY_NAME":"Euro per U.S. Dollar","USDCLP^FG_PRICE_CHANGE(0,-6AM)":3.1732202,"FC0000MY^FMA_EPS(NTMA,-20AY,0,CY,,\"PORTAGG\",\"MEANR\")":[10.1502703335633,10.4437641251748,12.9724796418955,18.2503396188415,14.0466581252587,15.3757138406976,21.4306644102707,21.3490176148404,22.6884806281536,22.3178913580133,20.4911207311994,16.0128576219857,14.3791410735133,17.4218065826708,16.3463734540467,15.6987954718694,16.3882261586729,16.0085524498021,16.7038107118506,16.2486587557372],"EIDO^FMA_DIV_YLD(NTMA,-10AY,0,AM,\"PORTAGG\",\"MEANR\")":[2.52984351128715,2.50544498662224,2.48862225202689,2.60702712127026,2.5013175506068,2.49659475981659,2.52471965957757,2.329479715493,2.29925127154473,2.31595526015455,2.341868270901,2.45738754156157,2.47296445936021,2.72073117847678,2.73966442100773,2.55499204081013,2.54743942065086,2.56170499814849,2.54618552688654,2.4371844945802,2.33483537730775,2.37258043194079,2.48641486563741,2.37660102830331,2.1718826047459,2.15808461074861,2.23660131653601,2.23955699869067,2.43638272830356,2.5064630388036,2.42716984337459,2.43035077752489,2.42568855277109,2.46950803713856,2.4513947411908,2.55583180892898,2.55955039948166,2.54437918408576,2.57392603016184,2.55294096946489,2.59136320183699,2.59961767568923,2.46711731099594,2.47696994894585,2.64769541547669,2.66309124899462,3.11965982683843,3.00776386941179,3.1230405576758,3.12525953144083,3.05784485634482,3.09356191541378,2.91873945384783,2.83611497815093,2.74317382951825,2.84641232234343,2.79267661006035,2.78736056382885,3.23175609756698,2.78627233758103,2.68054044193348,2.79664685724013,2.80686375850216,2.79239448527149,2.79912029204017,2.80371207435544,2.68929569106471,2.87228967926818,4.64269077441665,3.94461364687081,3.78679451393464,3.09880898645544,2.91214668710478,2.76580313437034,2.91968492804845,2.83367965560636,2.48607193014794,2.21743867681284,2.2329591237147,2.45553730595171,2.53405287261624,2.73440724757447,2.8877881561161,2.94422372279695,3.09842379082216,3.07341301774303,3.11029626380985,2.85506170280031,3.0553865402349,3.14134970893452,3.16027742511894,3.08950123735304,3.23238549742763,3.32164552580302,3.54001348827048,3.56537432624368,3.72213054063757,3.63639690912816,3.56884709271482,3.87118437197084,3.92202058575923,4.03709428707082,4.16644528305615,4.19304081979607,4.3567684372054,4.3228513523825,4.63922972368983,4.29872573146731,4.17095332725243,4.15312754371052,4.13628094284485,4.3298309201863,4.18504342508144,4.13921935640855,4.08541459692539,4.04485427877032,4.07021487296633,4.4389433463967,4.41206201543031,4.77441156429123,4.42589598376587],"EIDO^FMA_PE(NTMA,-10AY,0,AM,\"PORTAGG\",\"MEANR\")":[14.7069191462284,14.8660229366456,14.8551026807941,14.24680525845,14.8617778302252,14.8304896135308,14.8204090561302,15.9119073227676,15.9980907756076,15.8883925537022,15.4143765523307,14.7170695143844,14.348156337604,13.1174109439718,13.3549831638735,14.3712608103626,14.2383368916267,14.0397328530258,14.2457052614114,14.8057851236264,15.4047494903116,15.1158171316662,14.2406431626934,14.8853591322801,16.2853236687732,16.7243275013207,16.1104106256632,16.4415200151734,15.0530850150279,14.7724941887367,15.2251467437515,15.1786412822329,15.4047988373388,15.2543121398178,15.8730848292295,15.5482284018681,15.6029909292856,15.715625657137,15.4888360283173,15.4132692096095,15.4632089903243,15.4101138481674,16.0069703853623,15.5600733089094,14.6731953464013,14.9609818872023,13.0959544340113,13.3813882398376,12.8027377966603,13.1324559579625,13.1654005310992,13.0704101504636,13.7499414351167,14.144685755694,14.8038385509025,14.4734090714049,14.6350009736909,14.3603079477299,12.454380707232,14.0713842493117,15.0451589755455,14.6571516193897,14.5866301804745,14.5171572276066,14.7983974151708,15.0015899331769,15.679994317801,14.5817963369804,9.33041018439459,10.9903121179952,12.391102269513,16.0140031216645,16.3623477357563,16.9619685448124,15.6504314659506,15.857805450638,17.4220047520734,18.5803221791885,18.0557821385626,17.3568555987738,17.0140186215905,16.2254012166443,15.1126854222151,15.1554139295911,14.6329605879191,14.9144654915233,14.9087211999452,15.9338038743264,15.2827512157491,14.734731104948,14.6243850682949,15.308968227497,14.8480003840383,14.2403247399131,13.3548184809102,12.6439667582656,12.2888717793679,12.9208448742907,13.2065697675381,12.3536746522022,12.6020397836524,12.3447410519983,12.1301129960102,12.2161095754319,11.607479597087,12.1616634382958,11.9251161652253,13.5427669676569,13.5548133114056,13.4475151650251,13.3316946877118,12.4934248421019,12.4619562893904,12.6755195512557,12.8460344835563,13.1863916293467,13.0535571634656,11.9541801425583,12.1438378187841,11.5421246839159,12.3073397143557],"PLATI-FDS^FG_PRICE_CHANGE(0,-6AM)":9.64912280701755,"W-FDS^FG_PRICE_MAVG(0,,,,30)":5.6960835,"TIOS-FDS^FG_PRICE(0)/MAX(FG_PRICE(0,-1AY))":0.75423140954495,"FC0000TW^FG_PRICE(0)":377.494,"FC0000ID^FG_PRICE(0)":1122.4,"MCHI^FG_PRICE(0)":42.02,"EWW^FG_PRICE_MAVG(0,,,,200)":63.3829,"USDSAR^FG_PRICE_CHANGE(0,-1AY)":-0.007992983,"USDQAR^STD(FG_PRICE_CHANGE(0,-3AY,M))":0.00998265294793277,"USDMXN^FG_PRICE_CHANGE(0,-3AM)":3.773868,"USDPLN^STD(FG_PRICE_CHANGE(0,-1AY,AM))":3.12858607056578,"USDCLP^FG_PRICE(0)":939.97,"EPU^FMA_EPS(NTMA,-20AY,0,CY,,\"PORTAGG\",\"MEANR\")":[null,null,null,null,null,2.32525395129155,3.70455099626404,3.91000310564685,3.95899801372697,2.82022185033686,2.58004727651874,1.7402921975997,2.8587512141433,3.049394604189,2.65459381565907,2.43807409059732,2.41141007361686,2.94854994796204,3.11609679434847,2.96006707163236],"EIDO^P_PRICE_RETURNS_PR('52W',2,-10AY,0,AM)":[-3.0098677,14.553523,2.4407864,2.7158022,16.529655,22.931458,16.170097,10.990822,-1.0143578,-1.3202131,-9.393263,-9.0279875,-16.00566,-30.08986,-33.41984,-21.337759,-23.524391,-23.34903,-22.937637,-18.431002,-11.063093,-11.298603,-16.218513,-2.5050163,10.352683,33.50241,40.938904,28.597664,15.677631,18.192947,20.682848,7.5850606,6.7329288,7.5743914,28.614975,18.956709,8.078289,2.5845885,6.5678716,1.3739705,14.54624,17.344688,24.52314,23.031664,7.6235294,8.019066,-7.7500105,-9.32787,-12.84737,-13.137513,-14.240307,-16.72461,-9.813833,-8.4702015,-6.758255,-9.320646,-1.8693626,-1.477021,-6.425947,9.820962,16.299606,10.199558,12.196409,18.338097,4.8802137,5.516374,0.30794144,-7.129848,-48.21523,-40.599586,-26.933098,-26.953697,-27.521587,-19.933617,-27.947014,-25.24317,-11.06543,-4.6614647,-7.487279,-1.508987,78.62722,41.28703,33.14364,12.653744,7.0332527,6.5116525,18.754887,36.057877,10.578346,-4.1231275,-3.1443417,3.6345243,8.4454775,14.107323,14.237488,8.916271,13.577199,17.27723,18.219507,-6.2182665,0.6941438,2.2545218,1.191616,-0.5267143,-8.317542,-0.65962076,2.1312594,4.499638,9.676075,-1.4765799,-4.269642,-5.344266,-2.699083,-0.7981539,0.23581982,0.46856403,6.4064503,-10.007084,-6.813824,-17.362946,-10.459632],"EIDO^FG_TOTAL_RETURNC(-10AY,0,AM)":[8.748781,1.2469649,-3.4211457,-4.1799545,2.957487,-3.163457,-0.55782795,2.9917717,-1.7066121,1.8840075,-5.3299484,-7.7748003,-1.9225955,-13.72801,-7.9562426,13.128042,0.09549856,-3.4828246,0.53670406,9.014773,8.3596945,0.50041676,-10.580915,7.0533633,11.289215,4.3700814,-2.8291225,3.2220483,-10.304624,-1.0062873,2.6546597,1.4869928,4.27351,0.0,6.908655,-0.98575354,1.1119723,0.07382631,-0.07377267,-1.8087864,2.0300746,0.7364154,8.934462,1.2100816,-9.631353,0.36751032,-13.365067,2.5630593,-2.812761,-1.2526929,-0.34995675,-4.6532097,10.497236,2.2372246,10.412418,-1.0724902,-2.2056103,1.9495368,-16.160477,16.767956,2.920556,-6.432086,1.4557242,-0.63770413,-0.88247657,2.8573632,4.6905756,-8.170181,-45.46945,17.819548,2.3612022,16.73503,1.618123,3.874731,-7.715893,1.9933581,17.915308,11.133122,0.7929921,-2.2360206,-1.1012316,-6.8094254,-3.5386026,-0.8034885,-3.866607,3.3685327,3.404677,16.27469,-4.1666627,-3.1192958,1.2724876,3.9861321,1.8333316,0.24549961,-3.4285724,-3.0471325,-2.2104323,6.7359805,4.235494,-7.761073,2.1585941,-0.90692043,0.21977425,1.666677,-5.0905943,8.000004,-0.7154882,0.42910576,1.378727,-3.1024277,0.21929741,-8.796501,3.790784,2.2191525,1.2643576,2.3863196,0.043976307,-8.659339,2.5023937,-10.674894,9.847665],"CNYA^FMA_DIV_YLD(NTMA,-10AY,0,AM,\"PORTAGG\",\"MEANR\")":[null,null,null,null,null,null,null,null,null,null,null,null,null,null,null,null,null,null,null,null,null,null,null,null,2.21126905829419,2.17743146502752,2.26356051770177,2.27640919937348,2.216869648679,2.29781801421636,2.30474582556781,2.33066799162175,2.30674325090769,2.29444877639931,2.25073578159463,2.14514226807364,2.12687898970471,2.19250538034169,2.15046307215961,2.1432283206977,2.08229737011069,2.20198473436717,2.10950782349163,2.3249727774028,2.29942593309145,2.51368454363531,2.66772673044315,2.8403807972151,3.0735789453071,3.31511575369193,3.17746475627,3.38015345351265,3.18267350348731,3.29111857579144,3.21565450679857,2.9793319793392,2.75371955428646,2.60134924518308,2.88578435997909,2.75313236289604,2.72353078255035,2.74548201203067,2.65095158543053,2.7215432339078,2.74568954648352,2.48639892448193,2.42335800353454,2.44728528622106,2.71400564305096,2.46695386034959,2.3059026569742,2.16846301233414,1.97904540679047,1.9453759713695,1.92032183394592,1.95665409884839,1.93438351109119,1.84030231801111,1.70293858556546,1.6073329233783,1.90265034242744,1.91833681250961,1.8706653555024,1.86837967846437,1.85810832939781,1.99203948725715,1.98164477456643,1.98502005565736,1.9913780565226,1.96116520132181,2.08413004315154,2.18048676999801,2.35843757725859,2.44472054339455,2.46780546701225,2.30758323237797,2.35782804963924,2.39692734589419,2.58438915719735,2.6880035972607,2.60364318635298,2.53600560427661,2.38764030545341,2.44479308394177,2.53711437910792,2.43773997724299,2.54716183392018,2.50288463288722,2.59694178931782,2.62432378367513,2.62119752345201,2.78132691576246,2.69602662075744,2.83581601323758,2.91892591902043,2.83898872939374,2.73246900095953,2.81462993113896,2.78292346480002,2.96484088781802,3.07783646182811],"EPOL^FMA_PE(LTMA,-10AY,0,AM,\"PORTAGG\",\"MEANR\")":[14.7440601397061,14.9499763168774,14.9107223605272,14.5057026845708,14.5966343733453,14.3345629718459,14.0318595025236,19.0421949674721,20.0749031375835,19.7432817296314,19.1107079070092,17.8138263905489,17.1758147819495,15.8658377450145,14.8753615244983,14.0131777281487,12.7603785277853,11.2675641346133,10.5679201720891,12.1973359945874,12.3798005198921,12.4582308263516,12.0090204372846,11.8986176069343,11.9108259074642,12.2578892252716,12.0571174007042,12.4295601709067,12.2078972960465,13.6177849912337,14.1159673485921,16.1424623478321,15.6670629879934,15.3132600489073,15.0080117747038,14.7307952370956,14.5463183709042,14.2504415432464,13.9976467214358,13.3580578360117,12.7757892650921,12.4660585138648,13.1149051958614,12.1607282606849,11.6676830600178,11.8213419436862,11.6816643333133,11.3275749114819,11.3202009314041,11.5214622393347,11.4427535149353,11.311867770915,11.1949707202152,11.7495679242949,11.7723150218439,11.4478367205578,11.6187326093238,11.6595359848644,11.3150919460141,11.4956354801804,11.5790831174766,10.9155684419437,11.0757182198625,10.9181833431578,10.9973969573406,10.9365021354207,11.1894287380336,11.4010295484282,9.43501611107128,10.2350026753189,11.1584419056213,12.0864279480438,11.8939321850208,12.8087243601818,12.7143026648075,14.0507529418668,19.1638915301784,21.5571758343837,22.4030748079916,15.6322115077798,16.820782708253,16.3935792170609,16.2884828185379,15.7154821385463,14.7957403690863,14.2250201650124,13.7604588717401,13.9942885152424,12.676935396026,10.5524461947448,10.8837745896026,10.4758951834874,9.7964613138585,9.48352438970518,8.67099470000055,8.20732248477052,7.31790804204728,7.0441054661581,6.56980323833507,6.463295561942,6.1609067321499,5.89041711466303,6.20868670758258,5.48617661069264,5.94859963770654,6.09975388429032,6.25378758562233,6.63442344465798,7.11254526956164,6.75559748748255,6.88299192055316,7.34317330480831,7.4905205231439,8.97154524403899,8.43261049856245,8.97565417512157,8.91300221075515,8.82570205606942,9.05918212707378,9.08735530141306,9.17784780576198],"WL-FDS^FG_PRICE_MAVG(0,,,,30)":562.11334,"UAE^FG_PRICE_MAVG(0,,,,200)":14.471836,"INDA^FG_PRICE_MAVG(0,,,,200)":50.14885,"KSA^FG_TOTAL_RETURNC(0,-6AM)":0.89900494,"UAE^FG_TOTAL_RETURNC(0,-3AM)":2.8559566,"EWY^P_PRICE(0)/P_PRICE_HIGH_PR(0,,,,,,\"PRICE\",\"INTRA\",\"52W\")":0.93835866,"EPU^FG_TOTAL_RETURNC(0,-1AM)":1.7234921,"ECH^PERCENT_CHANGE(FMA_EPS(+1,0,,,,\"PORTAGG\",\"MEAN\"),FMA_EPS(+1,-3AM,,,,\"PORTAGG\",\"MEAN\"))":-6.31980545062285,"SET-BKK^SIZE(FG_CONSTITUENTS)":1,"EWZ^SIZE(FG_CONSTITUENTS)":51,"EPOL^SIZE(FG_CONSTITUENTS)":34,"TUR^FMA_RBICS_REV_CURRENT(30, LOC, \"PORTAGG\")":22.4907332005754,"KSA^FG_ROE(0)":11.0135462776468,"EPHE^FG_ROE(0)":12.4634516648619,"TRYTW10Y-FDS^FG_YIELD_NAME":"Taiwan China Benchmark Bond - 10 Year","REFTR1WREPO-FDS^(SUBARRAY(NOT_NA(NO_REPEAT_F(FG_YIELD(NOW,-10AY,D))),0,1)-SUBARRAY(NOT_NA(NO_REPEAT_F(FG_YIELD(NOW,-10AY,D))),1,1))*100":500.0,"REFEUREFI-FDS^PROPER_NAME(0,,,\"SECURITY\",\"NAME\")":"Eurozone Main Refinancing Operations Minimum Bid Rate","REFCNRMB-FDS^FG_YIELD(NOW,,,0)":3.35,"TRYIN10Y-FDS^PCTCHG(FG_YIELD(0,,,,\"YTM\"),FG_YIELD(-1AM,,,,\"YTM\"))":-1.0364159,"TRYPL10Y-FDS^PCTCHG(FG_YIELD(0,,,,\"YTM\"),FG_YIELD(-3AM,,,,\"YTM\"))":-4.65836,"TRYAE10Y-FDS^FG_YIELD_NAME":"Treasury - United Arab Emirates USD Benchmark Bond 10Y","TRYKR10Y-FDS^FG_YIELD(0,,,,\"YTM\")":3.1523,"TIPSCL10Y-FDS^FG_YIELD_NAME":"Treasury - Chile Inflation-Indexed (TIPS) Bond 10Y","CC_MY^IMF_IFS_RCPI_Q(0)":null,"VGK^FMA_DIV_YLD(NTMA,NOW,NOW,M,\"PORTAGG\",\"MEANR\")":3.44354713699091,"VNM^JULIAN(FMA_DIV_YLD(NTMA,NOW,NOW,M,\"PORTAGG\",\"MEANR\").DATES)":45471,"SET-BKK^FG_FCF_YIELD_NTM(0)":4.45630630117417,"MCHI^FMA_PE(LTM,0,,,\"PORTAGG\",\"MEANR\")":12.8016869610248,"EZA^FMA_EVAL_EBITDA(NTMA,0,,,\"PORTAGG\",\"MEANR\")":7.48484898939412,"EWY^FMA_PE(NTMA,0,,,\"PORTAGG\",\"MEANR\")":9.5626807818099,"EWM^FMA_EVAL_EBIT(LTMA,NOW,NOW,M,\"PORTAGG\",\"MEANR\")":17.3018369656418,"VNM^FG_COMPANY_NAME":"VanEck Vietnam ETF","EPHE^FG_COMPANY_NAME":"iShares MSCI Philippines ETF","REFCNRMB-FDS^PROPER_NAME(0,,,\"SECURITY\",\"NAME\")":"China Loan Prime Rate (LPR) - 1 Year","TRYTR7Y-FDS^FG_YIELD(0,,,,\"YTM\")":23.925453,"TRYKR10Y-FDS^FG_YIELD_NAME":"South Korea Benchmark Bond - 10 Year","TRYCN10Y-FDS^FG_YIELD(0,,,,\"YTM\")":2.269,"VGK^FG_PE_NTM(0,,,90,0)":13.4915688159165,"UAE^FMA_EVAL_EBIT(LTMA,NOW,NOW,M,\"PORTAGG\",\"MEANR\")":9.3102330398094,"SET-BKK^FMA_DIV_YLD(NTMA,NOW,NOW,M,\"PORTAGG\",\"MEANR\")":3.85804642737473,"MCHI^JULIAN(FMA_DIV_YLD(NTMA,NOW,NOW,M,\"PORTAGG\",\"MEANR\").DATES)":45471,"EZA^FG_FCF_YIELD_NTM(0)":8.38274915136869,"EWY^FMA_PE(LTM,0,,,\"PORTAGG\",\"MEANR\")":17.9154919967426,"EPOL^FMA_PE(LTM,0,,,\"PORTAGG\",\"MEANR\")":8.89969846077958,"UAE^FG_COMPANY_NAME":"iShares MSCI UAE ETF","URTH^FMA_PCT_ABOVE_MAVG(200,0,,,,\"PORTAGG\")":72.4403927068724,"CNYA^FG_ROE(0)":10.0106182287452,"TRYZA10Y-FDS^PCTCHG(FG_YIELD(0,,,,\"YTM\"),FG_YIELD(-3AM,,,,\"YTM\"))":-10.700974,"TRYTH10Y-FDS^FG_YIELD(0,,,,\"YTM\")":2.6026,"VGK^JULIAN(FMA_DIV_YLD(NTMA,NOW,NOW,M,\"PORTAGG\",\"MEANR\").DATES)":45443,"INDA^FMA_EVAL_EBITDA(NTMA,0,,,\"PORTAGG\",\"MEANR\")":16.0274084191397,"EWM^FMA_PE(NTMA,0,,,\"PORTAGG\",\"MEANR\")":14.3076503978871,"CNYA^FG_COMPANY_NAME":"iShares MSCI China A ETF","EWM^FMA_PE(LTM,0,,,\"PORTAGG\",\"MEANR\")":18.2875977055292,"EZA^PERCENT_CHANGE(FMA_EPS(+1,0,,,,\"PORTAGG\",\"MEAN\"),FMA_EPS(+1,-3AM,,,,\"PORTAGG\",\"MEAN\"))":0.175991061412792,"CAGDPY@MX^EE_ACTUAL_ANNUAL(MED,0)":-0.4575,"USDZAR^STD(FG_PRICE_CHANGE(0,-3AY,M))":3.88632112712936,"USDMXN^FG_PRICE_CHANGE(0,-1AY)":6.8467855,"ECH^FG_TOTAL_RETURNC(-10AY,0,AM)":[-0.74132085,-3.2522142,-2.2638857,-4.0243387,3.169179,-6.906289,-4.2958794,8.818054,-5.85795,9.541094,1.9171596,-9.939623,-0.934124,-10.459584,3.1858325,0.14293194,-4.881525,-3.511399,-7.1041822,13.407254,8.533335,3.6036015,-7.6943398,3.0545235,8.949244,-1.3727009,-5.0157666,7.492411,-4.578197,0.64690113,3.8712263,5.0812483,3.8537025,5.1997066,-3.6620915,1.2593269,5.8395147,2.2119045,6.016016,4.347825,-2.0931125,3.7246943,7.3363423,-1.9579589,-3.8292408,5.6582212,-6.8517866,-5.980718,-3.6516309,-3.9860547,3.2894611,-6.720841,3.0845284,-5.0691185,10.57831,0.43582916,-3.0483782,-0.5482912,-10.688567,1.9931078,0.4531741,-8.997494,4.7920585,2.943492,-16.236908,2.570498,0.3275633,-10.181057,-36.285526,23.858917,2.0519376,6.8457007,3.5238862,0.1891017,-6.2287626,-3.2206059,13.685524,9.309757,7.1668983,4.1130304,3.4378767,4.373181,-20.78212,1.1256337,-3.014183,-1.828152,1.5642405,-11.477816,5.426681,-2.201879,5.9449673,1.2142539,8.939624,-1.0657191,0.32316446,-4.0293217,-2.9092312,2.676785,6.0700417,-12.802643,5.8056355,3.7969232,7.2298646,7.2737217,-8.761745,9.284914,2.500856,1.9708276,8.963871,-11.542064,-4.349369,-9.94454,6.8965554,8.333325,-8.489836,-0.27290583,2.6583314,-0.038081408,11.352385,-7.375169,-0.56839585],"ECH^FMA_PE(NTMA,-10AY,0,AM,\"PORTAGG\",\"MEANR\")":[14.7368644850797,14.578356511227,14.7346555080393,13.5806858426752,14.4762094955827,13.4385294361625,12.5753230334163,13.5396175091872,13.111768735684,13.8677396297691,14.2481696528679,13.5528263523926,12.7734638523555,12.5550570836332,12.6526238545568,12.8232042818633,13.6352042716464,12.4852486540555,11.594059475077,12.4754154525407,13.1840699894881,13.5887138532345,13.5357237934172,13.7099739363254,15.266998632894,15.662835622617,15.3098653824796,16.5105654236282,15.9548406205033,15.6304460202414,15.6704142348647,16.069168147163,16.5051958985177,17.3253299259999,17.2422249271197,17.1320070805832,17.7163003925311,18.1174249178087,18.9028331991228,15.3145447827853,14.0315338900356,14.271424781857,14.7270921428427,14.231952067522,13.8084472270025,14.0236696538045,13.179023948407,11.9836346172742,11.9106341816039,11.6411822874633,12.0582542953469,15.0384924960758,15.1160572243821,14.5477366152771,15.772756421814,15.7715140303219,15.3777698705276,14.9971785616152,14.0430244522927,14.6442490050372,15.1200185385315,13.667778183058,15.2670037032409,15.6493848416974,14.1772274501168,13.5387713656164,13.985696638624,12.7585433984834,8.67260690958509,11.1543327223632,12.785334924826,14.7156993231899,14.8657337919573,16.0379604184476,14.4088126228677,13.7859848231244,14.7444409523299,14.0874692973831,15.118046197981,14.5928283822617,14.8139612895117,13.9641430871709,10.9857808203144,11.2624654593054,10.5854159940999,10.0065329265096,10.2725740790329,9.10325868893353,9.39429784513883,9.60718607067426,9.72486337287856,9.95959542751371,9.62106419323552,9.55268057289022,8.80660219026946,6.63927553063909,6.55782768639257,6.46297192382619,7.68071321060954,7.18609817301005,6.88637781909025,7.22700764532076,7.31028887759237,7.857837641096,7.29051050821999,7.87912805717834,8.5556399699721,8.41642539804488,9.41844259175372,9.11373685795151,8.89276335241554,8.52476854719279,8.75246144397949,8.05683040399252,7.81209266799137,8.39344583857009,8.00956599389295,7.78472748768386,9.86491327230144,7.90199472305594,7.84139615104185],"EPHE^FMA_PE(LTMA,-10AY,0,AM,\"PORTAGG\",\"MEANR\")":[19.2291236435333,19.5701685911389,19.9696189953459,19.2540800128904,20.1056741348972,19.6965231056406,20.5331923410186,21.1200135741137,20.9381313745613,20.8150666100952,20.6270840101028,20.1875595555216,20.1490566327406,19.6749050882017,19.270224119166,19.1333110241275,18.0768224742779,18.0514983183256,16.4755203384317,17.3385413908962,16.8910200352889,16.9182612135743,16.9293755734,17.4100372474987,18.0743525253966,18.3818074998789,17.7451831957521,18.0906454987052,16.9275795072565,16.5103451820776,18.1038533223174,18.2245928325088,17.8785771847513,17.9192545000699,17.957123311272,18.2962703147487,17.9552863448597,17.8021350744559,18.6030471677366,19.6409283843392,19.2736967200825,19.3696005975529,20.3919178024583,19.4385026382636,19.2109347055239,18.6588798939341,18.5604660060596,18.061643918904,17.709564003555,17.7291089052731,16.4651504706933,16.2189312951075,16.0248256824918,16.9587546276952,17.7490938435276,17.1162244850377,16.7504142826287,16.6637999461895,16.461170021686,16.7167421509083,16.872901594597,16.0987269652131,15.369397927345,15.1516552783187,14.938642755987,14.7169100456091,14.7748757658727,14.0337845108073,12.123985614142,12.7347803587503,13.4924796662036,15.286885626926,15.7297409097603,17.7744764814685,18.6304253390293,20.1432833167385,24.6636889129096,25.1079336278265,25.8193876439084,24.2697250505618,22.4253060844955,21.7450421909292,21.1433443756763,21.5194520358093,20.5769763617232,20.204597934059,20.4085423038778,21.1938262368681,20.3543974268174,20.0146997791466,19.58830365729,19.7133204765622,19.0246885552189,18.5475292577109,17.6967837294614,17.1820291158611,16.5392859918377,16.5421866658768,15.3748369420931,14.3909484061689,14.0323106552565,13.2011033548029,14.7627577377805,13.9118509616068,13.1297971496075,12.9350097156678,12.7983191252982,12.162666689326,11.9195080658239,11.2777766601591,10.9993449330101,10.998065819485,10.6196850154243,10.0299413218669,9.958303608806,10.4349614369276,10.6457557951595,10.307968060387,10.1413564091521,9.97686974125182,10.2394859281597],"WL-FDS^FG_PRICE(0)":541.2,"PLATI-FDS^FG_PRICE_CHANGE(0,-3AM)":6.95187165775402,"W-FDS^FG_PRICE(0)":5.4275,"TIOS-FDS^FG_PRICE_CHANGE(0,-1AY)":-2.98893647394718,"INDA^FG_PRICE_MAVG(0,,,,30)":55.741665,"EWW^FG_PRICE_MAVG(0,,,,60)":62.038,"EPHE^FG_PRICE_MAVG(0,,,,200)":25.65676,"UAE^FG_TOTAL_RETURNC(0,-1AM)":5.782068,"SET-BKK^FMA_PCT_ABOVE_MAVG(200,0,,,,\"PORTAGG\")":24.4377811094453,"INDA^FG_TOTAL_RETURNC(0,-12AM)":25.823069,"EZA^P_PRICE(0)/P_PRICE_LOW_PR(0,,,,,,\"PRICE\",\"INTRA\",\"52W\")-1":0.21001124,"EWT^FG_TOTAL_RETURNC(0,-1AM)":-2.3879468,"EPHE^PERCENT_CHANGE(FMA_EPS(+1,0,,,,\"PORTAGG\",\"MEAN\"),FMA_EPS(+1,-3AM,,,,\"PORTAGG\",\"MEAN\"))":-4.43722272699663,"EWJ^FG_TOTAL_RETURNC(0,-3AM)":6.005192,"EWJ^FMA_PCT_ABOVE_MAVG(200,0,,,,\"PORTAGG\")":72.0588235294118,"VWO^SIZE(FG_CONSTITUENTS)":4776,"REFZAREPO-FDS^(SUBARRAY(NOT_NA(NO_REPEAT_F(FG_YIELD(NOW,-10AY,D))),0,1)-SUBARRAY(NOT_NA(NO_REPEAT_F(FG_YIELD(NOW,-10AY,D))),1,1))*100":50.0,"REFMYON-FDS^PROPER_NAME(0,,,\"SECURITY\",\"NAME\")":"Malaysia Policy Rate - Overnight","EWM^FMA_EVAL_EBITDA(NTMA,0,,,\"PORTAGG\",\"MEANR\")":8.98976242434782,"EPOL^FMA_PE(NTMA,0,,,\"PORTAGG\",\"MEANR\")":8.69907980138946,"ECH^FMA_EVAL_EBIT(LTMA,NOW,NOW,M,\"PORTAGG\",\"MEANR\")":9.65487692499953,"EPU^PERCENT_CHANGE(FMA_EPS(+1,0,,,,\"PORTAGG\",\"MEAN\"),FMA_EPS(+1,-3AM,,,,\"PORTAGG\",\"MEAN\"))":10.1082102256286,"ECH^PERCENT_CHANGE(FMA_EPS(+1,0,,,,\"PORTAGG\",\"MEAN\"),FMA_EPS(+1,-1AM,,,,\"PORTAGG\",\"MEAN\"))":-5.16114329630426,"VWO^FMA_COS_DOWN(\"EPS\",\"1M\",+1,NOW,,,\"PORTAGG\",\"MEANR\")":1328.0,"EPOL^FMA_COS_DOWN(\"EPS\",\"1M\",+1,NOW,,,\"PORTAGG\",\"MEANR\")":8.0,"VNM^FG_ROE(0)":9.55591635281033,"REFPEMPR-FDS^(SUBARRAY(NOT_NA(NO_REPEAT_F(FG_YIELD(NOW,-10AY,D))),0,1)-SUBARRAY(NOT_NA(NO_REPEAT_F(FG_YIELD(NOW,-10AY,D))),1,1))*100":-25.0,"TRYGR10Y-FDS^PCTCHG(FG_YIELD(0,,,,\"YTM\"),FG_YIELD(-3AM,,,,\"YTM\"))":-3.7338612,"TRYPL10Y-FDS^PCTCHG(FG_YIELD(0,,,,\"YTM\"),FG_YIELD(-1AM,,,,\"YTM\"))":-3.1119053,"CC_PE^IMF_IFS_RCPI_Q(0)":null,"EIDO^FG_COMPANY_NAME":"iShares MSCI Indonesia ETF","EPHE^FG_PRICE(0)":25.57,"KSA^PERCENT_CHANGE(FMA_EPS(+1,0,,,,\"PORTAGG\",\"MEAN\"),FMA_EPS(+1,-3AM,,,,\"PORTAGG\",\"MEAN\"))":-3.48035212580004,"EPU^FMA_PCT_ABOVE_MAVG(200,0,,,,\"PORTAGG\")":80.7692307692308,"REFPEMPR-FDS^PROPER_NAME(0,,,\"SECURITY\",\"NAME\")":"Peru Policy Rate","USDQAR^STD(FG_PRICE_CHANGE(0,-1AY,AM))":0.00761764787174341,"USDPLN^FG_PRICE_CHANGE(0,-6AM)":-1.7535031,"FC0000PL^FMA_EPS(NTMA,-20AY,0,CY,,\"PORTAGG\",\"MEANR\")":[11.3956611787009,13.1552545733141,20.1382940093796,27.2509703511728,17.8154691533002,15.6334740740598,20.0842977011357,17.7256437482491,16.740047713355,17.3182407358996,14.5525654325642,12.4912768812566,13.2484078165723,19.4716186195535,18.0244220851928,16.9181600231376,12.7251193000516,16.7959254186769,17.0889243836624,23.3955887248491],"ECH^P_PRICE_RETURNS_PR('52W',2,-10AY,0,AM)":[-13.504637,-6.9104013,-19.111897,-19.437849,-11.562705,-13.325566,-15.981447,-3.1895697,-7.7876806,-8.178276,-7.5067577,-14.715618,-15.237576,-21.222328,-17.466963,-13.218451,-19.99038,-17.679464,-19.506014,-16.111332,-4.304701,-8.529597,-17.155903,-6.860137,4.254544,14.834679,5.7071805,13.464999,14.307129,18.732368,32.760284,23.783648,17.934847,19.522905,24.744106,22.571064,19.072533,22.691381,37.732304,33.703087,36.41298,41.380264,46.096672,34.755314,26.2259,26.77605,24.288702,13.814211,3.6079407,-2.060026,-5.1777067,-15.235954,-10.753351,-18.319714,-15.610111,-13.798118,-13.098204,-17.988508,-21.99495,-14.920652,-11.295957,-15.925848,-14.702791,-6.2627196,-23.509354,-17.353725,-24.48858,-32.94165,-55.93072,-45.127697,-37.28591,-34.30213,-32.982487,-25.458973,-33.403366,-37.292336,-14.891476,-9.110058,-3.1164825,12.301874,82.31756,53.63499,19.259274,13.007366,5.746019,3.6168694,10.405803,2.652812,-4.8045216,-15.200692,-15.800887,-16.095661,-13.640374,-18.283766,3.487134,-4.2332945,-1.6819179,2.8297424,7.3916674,5.784452,8.596921,12.67668,14.043212,19.483543,2.0646095,11.82158,14.248859,20.596552,36.236645,14.867413,5.8408976,9.310091,9.350157,15.263748,-1.6336918,-10.525054,2.8924227,-5.8852434,2.3447156,-7.128775,-15.253234],"ECH^JULIAN(FMA_DIV_YLD(NTMA,-10AY,0,AM,\"PORTAGG\",\"MEANR\").DATES)":[41838,41870,41901,41929,41962,41992,42020,42054,42082,42111,42143,42174,42202,42235,42265,42296,42327,42356,42388,42419,42447,42479,42509,42538,42570,42601,42632,42662,42692,42723,42754,42783,42811,42844,42874,42905,42935,42965,42997,43027,43056,43088,43119,43147,43178,43209,43238,43270,43300,43329,43362,43392,43423,43453,43483,43515,43543,43573,43602,43635,43665,43696,43727,43756,43788,43818,43847,43880,43909,43938,43970,44001,44029,44062,44092,44123,44154,44183,44215,44246,44274,44305,44335,44365,44396,44427,44456,44488,44519,44547,44580,44610,44638,44670,44700,44729,44761,44792,44823,44853,44883,44914,44945,44974,45002,45035,45065,45093,45126,45156,45188,45218,45247,45279,45310,45338,45370,45401,45429,45461,45491],"PASP-FDS^MAX(FG_PRICE(0,-5AY))":3158.12,"TIOS-FDS^FG_PRICE_CHANGE(0,-6AM)":-19.9808654695319,"UAE^FG_PRICE_MAVG(0,,,,60)":13.990978,"KSA^FG_TOTAL_RETURNC(0,-3AM)":-1.2492716,"UAE^PERCENT_CHANGE(FMA_EPS(+1,0,,,,\"PORTAGG\",\"MEAN\"),FMA_EPS(+1,-3AM,,,,\"PORTAGG\",\"MEAN\"))":2.08628276089451,"EZA^P_PRICE(0)/P_PRICE_HIGH_PR(0,,,,,,\"PRICE\",\"INTRA\",\"52W\")":0.9539242,"EWY^FG_TOTAL_RETURNC(0,-6AM)":10.074258,"URTH^PERCENT_CHANGE(FMA_EPS(+1,0,,,,\"PORTAGG\",\"MEAN\"),FMA_EPS(+1,-3AM,,,,\"PORTAGG\",\"MEAN\"))":0.262883172009163,"SET-BKK^FMA_COS_DOWN(\"EPS\",\"1M\",+1,NOW,,,\"PORTAGG\",\"MEANR\")":71.0,"EWZ^FMA_COS_DOWN(\"EPS\",\"1M\",+1,NOW,,,\"PORTAGG\",\"MEANR\")":26.0,"SET-BKK^FMA_RBICS_REV_CURRENT(30, LOC, \"PORTAGG\")":23.1003654100738,"EIDO^FG_ROE(0)":12.8175796391757,"TRYMY10Y-FDS^FG_YIELD_NAME":"Treasury - Malaysia Benchmark Bond 10Y","REFTR1WREPO-FDS^FG_YIELD(NOW,,,0)":50.0,"TRYPH10Y-FDS^PCTCHG(FG_YIELD(0,,,,\"YTM\"),FG_YIELD(-1AM,,,,\"YTM\"))":-6.509368,"EPHE^FMA_EVAL_EBIT(LTMA,NOW,NOW,M,\"PORTAGG\",\"MEANR\")":12.3884980267998,"SET-BKK^FG_COMPANY_NAME":"Thailand SET","EPHE^FMA_EVAL_EBITDA(NTMA,0,,,\"PORTAGG\",\"MEANR\")":8.17926532493766,"TRYCA10Y-FDS^FG_YIELD(-10AY,0,Y,,\"YTM\")":[1.79,1.39,1.72,2.04,1.96,1.7,0.67,1.42,3.3,3.0987],"CAGDPY@PE^EE_ACTUAL_ANNUAL(MED,0)":0.830176564820384,"USDVND^STD(FG_PRICE_CHANGE(0,-3AY,M))":1.28009702080718,"USDZAR^STD(FG_PRICE_CHANGE(0,-1AY,AM))":2.79503333499032,"USDMXN^FG_COMPANY_NAME":"Mexican Peso per U.S. Dollar","USDCNH^STD(FG_PRICE_CHANGE(0,-3AY,M))":1.74477924824209,"CNYA^FG_TOTAL_RETURNC(-10AY,0,AM)":[null,null,null,null,null,null,null,null,null,null,null,null,null,null,null,null,null,null,null,null,null,null,null,null,6.3408732,2.7724981,-3.1042159,0.9916067,0.11329651,-1.9238055,-2.8797925,4.735148,0.8812189,0.55069923,-1.5675187,4.873371,6.439996,1.4152527,4.258001,1.5311241,3.1681657,-1.4205635,9.441614,-3.5685778,-0.7536948,-4.7949553,1.0162234,-7.090473,-9.675765,-3.9059162,1.5480995,-7.099324,4.286504,-4.9996614,6.1726093,8.432257,10.49453,6.7646027,-13.952005,3.260982,2.1338105,-2.0892382,3.5511851,-0.60038567,2.283907,3.1348705,5.9969783,-3.8668752,-10.814375,5.951941,2.5122046,4.96403,14.925707,4.7551513,0.9997368,2.1936893,4.60732,3.4279466,8.7381,7.6610565,-14.308953,0.8515835,4.101324,-0.7648885,1.5672445,-2.9479504,0.40341616,3.6246777,-1.239866,1.3639092,-3.426081,-2.976191,-6.7239285,-5.9458017,-6.097901,8.692956,-0.6864369,-3.8429618,-7.3318005,-7.2913465,3.5036922,2.8137803,10.5022545,-4.664445,-3.119266,4.324496,-5.9001503,-1.8228471,-3.2162786,-3.3231616,-1.0873377,-5.4609957,3.648162,-4.496866,-3.7665844,4.0607095,5.163574,-1.83658,4.8491716,-4.1587353,-1.3719559],"CNYA^FMA_PE(NTMA,-10AY,0,AM,\"PORTAGG\",\"MEANR\")":[null,null,null,null,null,null,null,null,null,null,null,null,null,null,null,null,null,null,null,null,null,null,null,null,13.7795237925988,14.0604734982002,13.6448531749523,13.7466128861791,14.0313431092834,13.3793023227561,13.1062087689697,13.0546129871036,13.2259543670698,13.302211414259,13.2450697404546,13.9295961967294,14.2190568037208,13.935452134058,14.2972634560715,14.3811788259333,14.6994706423242,13.8745260998345,14.3523970210338,13.1143327651753,13.271176548913,12.4324930365046,11.9740349862006,11.2736509768178,10.4363965581601,9.71449696073343,10.2110225838508,9.62403150477289,10.1065985540953,9.6894711668424,9.95436416604579,10.7489950112568,11.6656303747151,12.2838449241526,10.9778770257638,11.5193982256928,11.5483177319225,11.5032494577675,11.9127465169258,11.6026054747239,11.6562242100619,12.5500167137812,12.90762020791,12.6951140656591,11.3475917172989,12.455873387261,13.2711899861025,14.0727415122576,15.5540283013947,16.0344655340755,16.2200674867201,16.0123478752303,16.1463140312515,16.5760095373693,17.8617475168784,18.8120048667419,16.0034985991763,16.0977867534558,16.2926343781617,16.2746684357029,16.0605966753466,15.2502025740678,15.3417551092579,15.4207250177975,15.2657615391388,15.4946778605342,14.6372918974422,14.0004813171863,12.8974504496834,12.5198016741696,12.4934596373943,13.3307181326671,13.1559454616678,12.7315249578555,12.0287701283545,11.5114341963624,11.7880375434481,11.8830574923928,12.5700080357729,12.1934612562315,11.7621502383535,12.4363684510254,11.9860629647883,12.2309796001092,11.7780008183866,11.7032971848629,11.7924867177658,11.0794211909318,11.6361827218292,11.1250601292007,10.733879569968,11.0487646365579,11.8117815691057,12.2048153898096,12.9994453662387,12.3623374186182,11.9711810989523],"EIDO^FMA_PE(LTMA,-10AY,0,AM,\"PORTAGG\",\"MEANR\")":[15.8008753441489,15.9358580394444,16.0317128976108,15.896663151606,16.2032835815295,16.7248702390726,16.6690620800283,17.7352464579161,17.9199896403371,17.8008324346129,17.5397437765244,17.1203405899297,16.8268583675978,15.8384283827367,15.8215603905147,16.5572512748057,16.3578484292922,15.7986612129838,15.8838380750493,16.3956459991387,16.8355097600451,16.6841445572267,16.2789836466093,16.5335784164228,17.336281355906,17.9352524819696,17.7822088698881,18.2642159715378,17.1159082846515,17.2143384318739,17.776893428836,17.5651246521615,17.5090147983414,17.3250756320395,17.4673176489802,17.2761764600183,17.2910429785075,17.3356003359079,17.2373037890856,17.1925832471373,17.3364580759484,17.3832959158697,18.3163900321008,17.8494631541533,17.4187387150122,17.2927017142385,16.4068307984122,16.2309192179133,15.6585540281853,15.5591073194015,15.3805894466232,15.0998995876632,15.5730685444595,15.6725949661741,16.4321237215147,16.0228837085212,15.8984981212149,15.755407035165,14.9630765985451,15.5571063918385,16.0889853142917,15.8983863602284,15.9133393356761,15.9073852043594,16.2969098186703,16.6286110235553,17.5387959446629,16.5280556144002,14.095745377688,14.2248862429531,14.531475316405,16.608258548218,17.2319971061429,18.4616369780287,18.3574341808895,19.661410764475,22.4820703368845,26.1366572111221,25.5609159417375,24.3868148531405,23.748731861688,22.9286331467343,21.8793696444713,21.2456348424985,20.3028434135187,19.8762661222757,19.3301172558643,19.6714894916335,18.2324556303385,17.1385322857975,16.7910581891277,17.3597099162817,17.2868471202973,16.8832077582505,16.2446273405451,15.5724900914472,14.9278197562075,14.8824117340719,14.6825526050302,13.6326881664671,13.3133602371159,12.6558255136487,12.2856059739704,12.4240757531019,11.9869557790695,12.1509028403726,12.1113418824414,13.0402822902539,13.2076361924411,13.3924293814394,13.5190485369484,13.0106165473851,13.2817878271498,13.7100861032633,13.9986317034359,14.443967535811,14.1501773864898,13.7394723866953,13.6818584635477,13.2793791629757,13.5563500281847],"PASP-FDS^FG_PRICE_CHANGE(0,-1AY)":-27.2727272727273,"PLATI-FDS^FG_PRICE_CHANGE(0,-1AM)":3.09278350515463,"BRENT-FDS^MAX(FG_PRICE(0,-5AY))":140.85,"FC0000ZA^FG_PRICE(0)":336.19635,"INDA^FG_PRICE(0)":56.18,"EWW^FG_PRICE_MAVG(0,,,,30)":57.874,"EPHE^FG_PRICE_MAVG(0,,,,60)":24.949667,"UAE^FMA_PCT_ABOVE_MAVG(200,0,,,,\"PORTAGG\")":29.7297297297297,"QAT^FG_TOTAL_RETURNC(0,-12AM)":-1.6267061,"INDA^P_PRICE(0)/P_PRICE_LOW_PR(0,,,,,,\"PRICE\",\"INTRA\",\"52W\")-1":0.31661594,"EWY^FG_TOTAL_RETURNC(0,-3AM)":6.3763976,"EWT^PERCENT_CHANGE(FMA_EPS(+1,0,,,,\"PORTAGG\",\"MEAN\"),FMA_EPS(+1,-3AM,,,,\"PORTAGG\",\"MEAN\"))":4.32038970486321,"EPHE^PERCENT_CHANGE(FMA_EPS(+1,0,,,,\"PORTAGG\",\"MEAN\"),FMA_EPS(+1,-1AM,,,,\"PORTAGG\",\"MEAN\"))":-3.15995026742343,"ECH^FMA_PCT_ABOVE_MAVG(200,0,,,,\"PORTAGG\")":65.5172413793103,"URTH^P_PRICE(0)/P_PRICE_LOW_PR(0,,,,,,\"PRICE\",\"INTRA\",\"52W\")-1":0.3006103,"URTH^PERCENT_CHANGE(FMA_EPS(+1,0,,,,\"PORTAGG\",\"MEAN\"),FMA_EPS(+1,-1AM,,,,\"PORTAGG\",\"MEAN\"))":0.0361438279441104,"QAT^FMA_RBICS_REV_CURRENT(30, LOC, \"PORTAGG\")":60.191004934348,"REFTR1WREPO-FDS^PROPER_NAME(0,,,\"SECURITY\",\"NAME\")":"Turkey Repo Rate - 1 Week","REFZAREPO-FDS^FG_YIELD(NOW,,,0)":8.25,"EWY^JULIAN(FMA_DIV_YLD(NTMA,NOW,NOW,M,\"PORTAGG\",\"MEANR\").DATES)":45471,"EWM^FG_FCF_YIELD_NTM(0)":5.8116811061615,"ECH^FMA_EVAL_EBITDA(NTMA,0,,,\"PORTAGG\",\"MEANR\")":6.16114579663442,"UAE^FMA_EVAL_EBITDA(NTMA,0,,,\"PORTAGG\",\"MEANR\")":5.92784654329344,"SET-BKK^FMA_PE(NTMA,0,,,\"PORTAGG\",\"MEANR\")":13.5190261658133,"INDA^FMA_EVAL_EBIT(LTMA,NOW,NOW,M,\"PORTAGG\",\"MEANR\")":23.0720625849092,"EZA^FMA_DIV_YLD(NTMA,NOW,NOW,M,\"PORTAGG\",\"MEANR\")":4.02224585606881,"EWM^FMA_DIV_YLD(NTMA,NOW,NOW,M,\"PORTAGG\",\"MEANR\")":4.14462999366469,"EPOL^JULIAN(FMA_DIV_YLD(NTMA,NOW,NOW,M,\"PORTAGG\",\"MEANR\").DATES)":45471,"TUR^FG_COMPANY_NAME":"iShares MSCI Turkey ETF","ECH^FG_COMPANY_NAME":"iShares MSCI Chile ETF","TRYPL10Y-FDS^FG_YIELD_NAME":"Treasury - Poland Benchmark Bond 10Y","ECH^FG_FCF_YIELD_NTM(0)":10.3335709166714,"TUR^FG_PRICE_MAVG(0,,,,200)":37.607273,"URTH^FG_TOTAL_RETURNC(0,-6AM)":12.546182,"VWO^PERCENT_CHANGE(FMA_EPS(+1,0,,,,\"PORTAGG\",\"MEAN\"),FMA_EPS(+1,-3AM,,,,\"PORTAGG\",\"MEAN\"))":-0.341218134449791,"QAT^SIZE(FG_CONSTITUENTS)":35,"EWY^SIZE(FG_CONSTITUENTS)":100,"EPHE^SIZE(FG_CONSTITUENTS)":33,"TRYSA10Y-FDS^PCTCHG(FG_YIELD(0,,,,\"YTM\"),FG_YIELD(-1AM,,,,\"YTM\"))":-1.0375392,"CC_SA^IMF_IFS_RCPI_Q(0)":null,"EWW^FMA_EVAL_EBITDA(NTMA,0,,,\"PORTAGG\",\"MEANR\")":5.96079284444611,"QAT^FG_COMPANY_NAME":"iShares MSCI Qatar ETF","USDQAR^FG_PRICE_CHANGE(0,-6AM)":0.0,"USDPLN^FG_PRICE_CHANGE(0,-3AM)":-2.6296914,"FC0000PH^FMA_EPS(NTMA,-20AY,0,CY,,\"PORTAGG\",\"MEANR\")":[8.59220082539698,10.2584058872744,13.4692809727856,18.2110568110308,13.0515502293789,16.0518603317777,24.4586496686729,25.9703873749774,28.0571210508876,26.0025463366439,28.3275730235173,26.2170868437055,26.5572871869144,30.208789832529,29.6177771378772,33.7587102374388,25.625710924974,24.8900071648497,26.8368786703138,30.8315679687197],"CNYA^P_PRICE_RETURNS_PR('52W',2,-10AY,0,AM)":[null,null,null,null,null,null,null,null,null,null,null,null,null,null,null,null,null,null,null,null,null,null,null,null,null,null,null,null,null,null,null,null,null,null,null,11.846876,11.951137,10.025417,18.86648,19.501484,22.043097,23.77987,39.483524,28.22832,26.343536,19.626629,23.144722,8.761597,-7.7056646,-12.518507,-14.821344,-22.061789,-21.216953,-24.077309,-25.682682,-17.178799,-7.7921333,3.7062764,-11.751211,-2.1049023,10.694551,12.787247,15.012037,26.621319,20.694733,31.029404,32.043922,15.974987,-6.390822,-7.337892,10.671258,12.496508,26.631142,35.43525,32.849407,35.811413,38.896393,39.455067,42.893208,60.028458,53.758015,46.356358,48.62515,40.795326,24.180567,15.04904,15.17086,15.971268,9.488857,7.251513,-4.699862,-14.038742,-6.695324,-12.814665,-21.356571,-14.229226,-15.772605,-16.549349,-22.978508,-31.092094,-26.98989,-26.749414,-16.184885,-17.134916,-12.855757,-5.120105,-4.920286,-12.631721,-16.306723,-17.257904,-10.184115,-8.410877,-8.5288105,-14.804631,-25.805658,-20.162857,-12.091559,-17.283148,-8.156037,-10.027003,-8.312464],"KSA^FMA_PE(NTMA,-10AY,0,AM,\"PORTAGG\",\"MEANR\")":[null,null,null,null,null,null,null,null,null,null,null,null,null,null,null,13.0072370464892,12.3412634904433,12.8860824507168,11.1813611608726,11.6437977562454,12.8751927136001,12.8642743989254,13.5729804368177,13.6959097475837,13.5740609107133,12.6433634851208,12.1223065308232,11.2885577234357,13.5497003298933,13.9880493027473,14.1082740221625,14.4220166240634,14.1316002272573,13.7968709259366,13.5177591427416,14.0723542073714,14.419988373127,13.8046839068964,13.8836954134163,13.0476177702088,12.9568947926625,13.234502157608,13.9585408128987,13.7159630940363,14.3832622007134,15.2785657786464,14.8046802969834,15.0334017966245,15.1772343144401,13.8447906864698,13.6078040126363,13.6953098990913,13.3144846879665,14.4117752364601,15.6531124061922,16.0564117860385,16.3273581494246,17.3602881917187,16.139202796857,16.8432218762947,17.1363004397608,17.020865669313,16.8583297269745,16.1450996251791,16.8394316367923,16.9915368488145,17.2642980407925,16.0171464846422,13.6522657407236,15.7920941009369,18.6643319563757,19.5336332114727,19.7142639832965,20.2006702891313,21.7784685163073,21.5060732019305,20.0750795214479,19.3860518146784,19.1052645246836,18.4333937713157,18.665994348641,19.2239743610616,19.0123009706437,19.4259368524232,18.9616308629493,18.8985531854483,18.9578640377264,19.1827962494938,18.7094246791868,17.7405564337979,19.2522429403054,19.069907582587,19.1301356524487,19.168843127212,16.7758179075969,15.9803947779609,16.0782145334996,16.6489138691554,14.933725426344,15.3873681961937,14.9824925080644,13.903292896754,14.8252971511322,15.1178990754994,13.9277223873893,16.2124733129463,16.7046386668478,17.0835684927572,17.542662918702,17.1662250873163,16.2599452579069,15.5731634798436,16.4340903259972,17.5683628866826,18.1833663825958,18.8413846717949,18.5128944921045,17.7765323264586,17.1693241626794,16.4228966499153,17.2921826025323],"TIOS-FDS^FG_PRICE_CHANGE(0,-3AM)":0.443418013856811,"UAE^FG_PRICE_MAVG(0,,,,30)":13.7325,"KSA^FG_TOTAL_RETURNC(0,-1AM)":1.9151568,"EZA^FG_TOTAL_RETURNC(0,-6AM)":15.322245,"EWY^FG_TOTAL_RETURNC(0,-1AM)":-0.6094694,"EPU^PERCENT_CHANGE(FMA_EPS(+1,0,,,,\"PORTAGG\",\"MEAN\"),FMA_EPS(+1,-1AM,,,,\"PORTAGG\",\"MEAN\"))":2.59886486487703,"VWO^FMA_COS_UP(\"EPS\",\"1M\",+1,NOW,,,\"PORTAGG\",\"MEANR\")":1000.0,"SET-BKK^FMA_COS_UP(\"EPS\",\"1M\",+1,NOW,,,\"PORTAGG\",\"MEANR\")":47.0,"EWZ^FMA_COS_UP(\"EPS\",\"1M\",+1,NOW,,,\"PORTAGG\",\"MEANR\")":12.0,"EPOL^FMA_COS_UP(\"EPS\",\"1M\",+1,NOW,,,\"PORTAGG\",\"MEANR\")":17.0,"UAE^FG_ROE(0)":13.0616552568815,"ECH^FG_ROE(0)":8.10268621676854,"TRYPE10Y-FDS^FG_YIELD_NAME":"Treasury - Peru Benchmark Bond 10Y","REFZAREPO-FDS^PROPER_NAME(0,,,\"SECURITY\",\"NAME\")":"South Africa Repo Rate","REFPEMPR-FDS^FG_YIELD(NOW,,,0)":5.75,"TRYSA10Y-FDS^PCTCHG(FG_YIELD(0,,,,\"YTM\"),FG_YIELD(-3AM,,,,\"YTM\"))":-8.039248,"TRYGR10Y-FDS^PCTCHG(FG_YIELD(0,,,,\"YTM\"),FG_YIELD(-1AM,,,,\"YTM\"))":-4.5644317,"TRYPH10Y-FDS^PCTCHG(FG_YIELD(0,,,,\"YTM\"),FG_YIELD(-3AM,,,,\"YTM\"))":-9.213218,"TRYTR7Y-FDS^FG_YIELD_NAME":"Treasury - Turkey Benchmark Bond 7Y","TRYMX10Y-FDS^FG_YIELD(0,,,,\"YTM\")":9.966,"TRYCN10Y-FDS^FG_YIELD_NAME":"Treasury - China Benchmark Bond 10Y","CC_PL^IMF_IFS_RCPI_Q(0)":null,"VGK^FG_PE(0)":14.3437891278789,"INDA^P_PRICE(0)/P_PRICE_HIGH_PR(0,,,,,,\"PRICE\",\"INTRA\",\"52W\")":0.97840476,"URTH^P_PRICE(0)/P_PRICE_HIGH_PR(0,,,,,,\"PRICE\",\"INTRA\",\"52W\")":0.9723634,"EZA^FMA_PE(NTMA,0,,,\"PORTAGG\",\"MEANR\")":9.81341468859488,"EWW^FMA_EVAL_EBIT(LTMA,NOW,NOW,M,\"PORTAGG\",\"MEANR\")":10.2088243495916,"FC0000CL^FG_PRICE(0)":206.02248,"VGK^SIZE(FG_CONSTITUENTS)":1283,"REFBRSELIC-FDS^(SUBARRAY(NOT_NA(NO_REPEAT_F(FG_YIELD(NOW,-10AY,D))),0,1)-SUBARRAY(NOT_NA(NO_REPEAT_F(FG_YIELD(NOW,-10AY,D))),1,1))*100":-25.0,"UAE^FG_FCF_YIELD_NTM(0)":8.67907233606193,"SET-BKK^FMA_PE(LTM,0,,,\"PORTAGG\",\"MEANR\")":16.5418477717726,"CNYA^P_PRICE(0)/P_PRICE_HIGH_PR(0,,,,,,\"PRICE\",\"INTRA\",\"52W\")":0.82869035,"VWO^P_PRICE(0)/P_PRICE_LOW_PR(0,,,,,,\"PRICE\",\"INTRA\",\"52W\")-1":0.1728741,"USDZAR^FG_PRICE_CHANGE(0,-6AM)":-3.9117038,"USDTWD^STD(FG_PRICE_CHANGE(0,-3AY,M))":1.68570413542361,"USDPLN^FG_PRICE_CHANGE(0,-1AY)":-0.8376837,"USDCNH^STD(FG_PRICE_CHANGE(0,-1AY,AM))":0.842000395134661,"ECH^JULIAN(FG_TOTAL_RETURNC(-10AY,0,AM).DATES)":[41838,41870,41901,41929,41962,41992,42020,42054,42082,42111,42143,42174,42202,42235,42265,42296,42327,42356,42388,42419,42447,42479,42509,42538,42570,42601,42632,42662,42692,42723,42754,42783,42811,42844,42874,42905,42935,42965,42997,43027,43056,43088,43119,43147,43178,43209,43238,43270,43300,43329,43362,43392,43423,43453,43483,43515,43543,43573,43602,43635,43665,43696,43727,43756,43788,43818,43847,43880,43909,43938,43970,44001,44029,44062,44092,44123,44154,44183,44215,44246,44274,44305,44335,44365,44396,44427,44456,44488,44519,44547,44580,44610,44638,44670,44700,44729,44761,44792,44823,44853,44883,44914,44945,44974,45002,45035,45065,45093,45126,45156,45188,45218,45247,45279,45310,45338,45370,45401,45429,45461,45492],"ECH^FMA_PE(LTMA,-10AY,0,AM,\"PORTAGG\",\"MEANR\")":[16.2429579890756,16.4460020510436,16.5729877793193,15.9503131629912,16.6390311576383,16.5241935260686,15.8195303560521,16.8225069735252,16.4436027402032,16.4125894930093,16.4244636749159,16.0181235822957,15.4629178595361,15.1854942233897,15.2491403495275,15.5706546830559,16.131202347485,16.1911612172335,15.0576488054013,15.8842006570218,15.5052879218636,15.4318267591516,15.2677537483251,15.0581759543624,15.6978899358609,15.9739767194358,15.9758404612393,17.0068951514248,16.5210429490199,15.6701587186742,15.9282335300877,16.6580976431446,16.8913525316466,17.1846438394163,17.2569311287006,17.4093788172041,17.9848285845448,18.6637709372066,19.820583814066,17.9762010325256,17.7309264664813,18.0925510672479,18.6485692794201,17.7731302512759,17.3269281734315,17.1093557331159,16.576042224374,15.7209629696624,15.4795376273765,14.9892561298481,15.3082138310695,17.0616664866312,17.4770424799721,16.4856210189884,17.9570462244064,17.8621325088593,15.8268448819021,15.7366059194631,15.4770310117659,15.7793249260137,16.0895773933994,15.190054681372,16.7036734825306,17.257701474651,15.921140110334,15.5249230540773,15.8187486157745,14.3424501179903,14.7931116129172,15.0457315775878,15.5067309286698,16.6565096120675,17.2611759547868,19.6337291198423,19.156203054582,19.6751471080752,22.2606414642595,24.4593752295033,24.2961110536928,26.5441935418261,31.4854756455912,29.477647863153,26.4718355564977,24.5397708729601,22.0513412729332,19.65013656238,17.7221313385063,14.7356718559791,12.4624105709194,10.3049906712321,9.45361854492315,9.51437686905025,9.86320699408691,9.80006909101145,9.4821771103161,8.21575623990853,7.76681954511848,7.26039596310705,7.82111713237475,7.11987743444313,5.86264421466995,5.50956426863932,5.45155876202546,6.00322486263089,5.82920915808983,6.156831511336,6.63709180241453,6.81216194893893,7.75465574128165,7.82990190016158,7.9572096914206,7.88917647008558,8.19799946253746,8.47371883517722,8.42253313477739,8.934997447397,7.28858559748608,7.37461295078302,8.21344828504694,7.65252583061554,8.02703063956361],"PASP-FDS^FG_PRICE_CHANGE(0,-6AM)":1.05263157894737,"PLATI-FDS^FG_PRICE_MAVG(0,,,,30)":993.5333,"BRENT-FDS^FG_PRICE(0)/MAX(FG_PRICE(0,-1AY))":0.870614479821537,"FC0000MY^FG_PRICE(0)":259.16385,"UAE^FG_PRICE(0)":14.27,"GREK^FG_PRICE_MAVG(0,,,,200)":38.758247,"EWW^FG_PRICE(0)":58.59,"EPHE^FG_PRICE_MAVG(0,,,,30)":24.449667,"TUR^FG_TOTAL_RETURNC(0,-12AM)":43.583214,"QAT^P_PRICE(0)/P_PRICE_LOW_PR(0,,,,,,\"PRICE\",\"INTRA\",\"52W\")-1":0.08237553,"EWT^PERCENT_CHANGE(FMA_EPS(+1,0,,,,\"PORTAGG\",\"MEAN\"),FMA_EPS(+1,-1AM,,,,\"PORTAGG\",\"MEAN\"))":-0.821541626740604,"EPHE^FMA_PCT_ABOVE_MAVG(200,0,,,,\"PORTAGG\")":54.5454545454545,"CNYA^FG_TOTAL_RETURNC(0,-12AM)":-8.312464,"MCHI^FMA_RBICS_REV_CURRENT(30, LOC, \"PORTAGG\")":25.1495051945425,"REFTHREPO-FDS^(SUBARRAY(NOT_NA(NO_REPEAT_F(FG_YIELD(NOW,-10AY,D))),0,1)-SUBARRAY(NOT_NA(NO_REPEAT_F(FG_YIELD(NOW,-10AY,D))),1,1))*100":25.0,"EZA^FG_TOTAL_RETURNC(0,-3AM)":14.451313,"EWY^PERCENT_CHANGE(FMA_EPS(+1,0,,,,\"PORTAGG\",\"MEAN\"),FMA_EPS(+1,-1AM,,,,\"PORTAGG\",\"MEAN\"))":2.04086565151778,"REFTHREPO-FDS^FG_YIELD(NOW,,,0)":2.5,"TIPSCL10Y-FDS^FG_YIELD(-10AY,0,Y,,\"YTM\")":[null,null,null,null,null,null,null,null,null,null],"CAGDPY@PL^EE_ACTUAL_ANNUAL(MED,0)":1.56254742295506,"USDVND^FG_PRICE_CHANGE(0,-6AM)":3.156817,"FC0000ID^FMA_EPS(NTMA,-20AY,0,CY,,\"PORTAGG\",\"MEANR\")":[29.3284073880372,28.5023046220539,34.6859014024765,3676.24176737639,35.3597916554534,47.7361447001776,65.769342621642,77.3469090906142,77.3051891445901,63.4414356734006,63.874105605238,48.7526184920652,55.9889041636352,62.060562018712,62.7205184660321,63.7324767601859,51.5265433474337,58.7711783808363,64.972794174405,67.9854425513431],"ECH^JULIAN(P_PRICE_RETURNS_PR('52W',2,-10AY,0,AM).DATES)":[41838,41870,41901,41929,41962,41992,42020,42054,42082,42111,42143,42174,42202,42235,42265,42296,42327,42356,42388,42419,42447,42479,42509,42538,42570,42601,42632,42662,42692,42723,42754,42783,42811,42844,42874,42905,42935,42965,42997,43027,43056,43088,43119,43147,43178,43209,43238,43270,43300,43329,43362,43392,43423,43453,43483,43515,43543,43573,43602,43635,43665,43696,43727,43756,43788,43818,43847,43880,43909,43938,43970,44001,44029,44062,44092,44123,44154,44183,44215,44246,44274,44305,44335,44365,44396,44427,44456,44488,44519,44547,44580,44610,44638,44670,44700,44729,44761,44792,44823,44853,44883,44914,44945,44974,45002,45035,45065,45093,45126,45156,45188,45218,45247,45279,45310,45338,45370,45401,45429,45461,45492],"VNM^FMA_PE(NTMA,-10AY,0,AM,\"PORTAGG\",\"MEANR\")":[12.8716382997369,12.7149704981399,12.0023804707431,11.7946747199448,11.496763135208,11.3638247184035,12.1749285776459,12.908054645403,12.0391426395227,13.5019561693428,13.0113448792227,13.8940337851689,14.7774800002214,13.9972215821111,13.6649795580947,15.2816007181653,14.6625478453937,11.6654600575256,12.1731464768289,13.5296932459369,14.5578946984045,12.5545172788038,12.926259491678,12.3026182081815,12.5267298660822,11.7511839961753,12.4521981808889,13.3226092705071,12.4861295106295,12.4695851450464,12.3891797531726,13.2736914088181,13.1172401789193,13.8989470056741,14.5357218943441,15.6650919655188,14.9950342429877,15.6858430957169,15.9705212300863,16.1577834183997,17.0580999639639,18.7120856845646,20.8136656487948,19.7001673746152,21.5180209018232,20.683844824673,20.6333389676332,17.5803634548644,17.2707591785237,17.7616174691116,17.731978673828,15.1592102948903,15.0905586190379,15.2371098739138,14.9438139911432,16.1982815378356,17.6102896186125,17.7738781027207,17.498752645337,16.5268622252929,15.8636281764908,14.247532687783,14.2873094515046,14.2598338788335,14.9518426307519,14.1852980931827,13.9092948535076,13.2846420144697,11.1868740751894,13.8378112203221,14.4948337442106,15.2941648403324,15.2095458595287,14.5293396040535,15.4884222802075,15.5956244004204,15.2580549035038,16.1245948541334,16.7815821485647,17.2321292358116,16.7831603695731,17.2682648954091,16.5472560941001,18.1707512255141,16.2703352137678,16.4954760304643,16.1442815318851,16.1706290738573,15.8200403814923,16.7478556931326,15.1187703846428,15.1246790861625,14.3687649277739,13.5653583852494,12.2625556537944,11.8568911634368,10.8363468693096,11.5732893083477,11.4103535680554,10.5320485092186,10.2294442593408,11.2137345714933,11.6912615629981,12.3686394937708,12.4371790758703,13.6882960843526,14.349428796176,14.0920282409924,13.6763475503703,13.9956499752845,14.5336753271615,13.2737580822902,13.9193565957582,13.9575415274081,14.5774674769073,14.7789863201427,16.181012466438,14.7864562734118,16.1374567740196,15.3855386740434,14.1338767875171],"TIOS-FDS^FG_PRICE_CHANGE(0,-1AM)":1.51246382223882,"TUR^FG_ROE(0)":18.0827596664476,"CC_PH^IMF_IFS_RCPI_Q(0)":null,"TUR^P_PRICE(0)/P_PRICE_HIGH_PR(0,,,,,,\"PRICE\",\"INTRA\",\"52W\")":0.9846881,"TRYFR10Y-FDS^FG_YIELD(-10AY,0,Y,,\"YTM\")":[0.837,0.9989,0.682,0.785,0.71,0.118,-0.344,0.201,3.07,2.534],"USDTWD^STD(FG_PRICE_CHANGE(0,-1AY,AM))":1.34432938616273,"USDPLN^FG_COMPANY_NAME":"Polish Zloty per U.S. Dollar","USDCNH^FG_PRICE_CHANGE(0,-6AM)":1.062882,"KSA^P_PRICE_RETURNS_PR('52W',2,-10AY,0,AM)":[null,null,null,null,null,null,null,null,null,null,null,null,null,null,null,null,null,null,null,null,null,null,null,null,null,null,-14.12958,-21.937126,-1.2884438,5.6179643,23.92534,24.610138,11.421943,10.092759,6.5976024,9.876049,15.151167,18.32571,27.541996,26.950146,9.321475,3.9717555,15.092134,11.734295,17.611874,27.622341,23.27707,23.414886,23.609198,18.415403,11.390209,14.159691,13.8634205,15.696812,19.892609,19.165182,17.751455,15.72398,10.970486,14.787376,9.658027,11.8783,5.9788346,4.2744517,9.563553,9.887684,1.0899901,-7.856983,-29.125332,-28.765308,-18.834526,-18.883587,-17.413246,-9.062308,4.4763565,9.294092,4.7086954,4.915607,3.141725,14.814258,54.63537,55.135334,50.070415,46.54058,42.9821,45.5706,41.36486,45.0721,41.71188,32.130768,44.24324,43.234207,40.838326,37.519325,20.541477,10.196257,12.249708,13.421261,1.185751,0.6157398,-4.3842673,-8.301062,-12.111675,-15.503293,-22.194248,-17.692863,-6.8085074,0.73581934,1.8156886,-9.295964,-3.3589184,-11.255508,-0.45921803,15.847492,11.753094,20.104195,27.515865,9.175646,5.5571556,1.2025595,2.3836136],"KSA^FMA_DIV_YLD(NTMA,-10AY,0,AM,\"PORTAGG\",\"MEANR\")":[null,null,null,null,null,null,null,null,null,null,null,null,null,null,null,4.23952417779848,4.67842399176262,4.61841343589144,5.37182939714206,5.13594986275153,4.62433079560035,4.28322102837895,4.06252638891689,4.09933278824744,4.19384704183943,4.52935644078758,4.79669287510927,5.00609758012222,4.16489593320795,3.91234656709798,3.88029885335832,3.76229850007478,3.97020161387718,3.98601177968147,4.06919195130257,3.84437983839956,3.74507042163723,4.05666734163374,4.22222477074656,4.39885507162746,4.34809194475481,4.28780938957042,4.17833897103137,4.23053411055241,4.01085395500916,3.73248878631695,3.84573118783838,3.81289023256847,3.76427222880482,4.14746897139404,4.36286800026919,4.34375690333288,4.47260356484434,4.2161654452056,3.91614136620434,3.92279258162656,3.83699842279387,3.67982187089095,3.8975753322706,3.79997531405289,3.76807437967153,3.96789633696201,4.22003875689884,4.36015209172467,4.06857301444578,3.97291018669976,3.95507481521245,4.33190861722889,5.46281856066492,4.84348307271625,4.32895720202054,3.88621252237311,3.87150583597144,3.57757284189241,3.39675853310361,3.26972158991882,3.41422191118777,3.48434441874551,3.46215827887574,3.5221003456142,3.52210636658325,3.30143202264683,3.31083234137958,3.21196821827935,3.27272008989052,3.17850640531489,3.05331717969245,2.87982628192849,3.04710545921532,3.21517494216495,2.99072010064289,2.97555718654825,2.91537022585127,2.74704916759342,2.98517715919964,3.12700401414628,3.27520397712058,3.03416121268551,3.44027185177089,3.33875316115135,3.50046441609435,3.88051147699446,3.67448641747484,3.70744418481803,3.94143410941606,3.44103807346626,3.46032679077593,3.44130377082594,3.37676479363313,3.58248133525959,3.71400861554122,3.9134589636909,3.76246759052252,3.56075255886619,3.48872547853601,3.31649063841276,3.31988706212885,3.44669785103065,3.58060429802461,3.69863274681612,3.54080683965188],"KSA^FMA_PE(LTMA,-10AY,0,AM,\"PORTAGG\",\"MEANR\")":[null,null,null,null,null,null,null,null,null,null,null,null,null,null,null,null,null,null,10.6019883666102,11.1955725794001,11.8033989922631,11.9652140665354,12.417907622603,12.7448847562232,12.980599478818,12.7468556120395,12.6171598555635,12.2047759821277,13.9553568358771,14.9267550743365,14.8234435788731,15.3127913489727,15.3474771819022,15.2104305496077,15.0254642650804,15.1635365270033,15.316290748723,15.0257468088265,15.0632653865158,14.4085076008516,14.2644436978604,14.4001583869336,15.1818488965322,15.1638314019045,15.1414371991088,15.4189036742438,15.2966683315114,15.4866428897746,15.6449542027357,14.8330708820394,14.6308031096263,14.7209448734804,14.5069328558606,15.521338504151,16.8566496734161,17.3385931789753,17.2525424243494,17.5422659581207,17.1423796054792,17.4429596304882,17.6953424783659,17.8932002677089,18.0491119045955,17.8170223196797,18.7844041755072,19.7815357113049,20.2444810637303,18.4641932940878,17.076706537965,17.5019594286492,18.6467131370226,19.4492134113283,19.7993412503869,20.9719979106776,24.3711002891358,25.9649775448938,26.8435065854442,28.2855289519322,27.3933555922214,26.5962568148412,26.1747535211747,25.6709801979948,24.9477150600277,24.508783892075,23.5993744662883,23.1328002256627,22.6314214860152,22.2677362416461,21.1903604996735,19.8212980319474,21.2613598927045,21.4221181750838,21.3415165425804,21.2187082995147,20.1454405073484,19.4591547658457,19.183660614959,19.1499911445758,17.7180226342628,17.4799429730782,16.8436848056542,15.1627718667849,15.8861312802196,15.8615872482668,15.1169293565745,15.7718603387541,16.166994194635,16.6610463447365,17.3685639200103,17.6669247614217,17.4840246048326,17.3327878860548,18.4803035626869,20.2925276317008,21.0718389317312,21.5410166922372,21.6788899997594,21.2387486094218,20.7645965746143,20.1475739793714,20.4159894267381],"CNYA^FMA_PE(LTMA,-10AY,0,AM,\"PORTAGG\",\"MEANR\")":[null,null,null,null,null,null,null,null,null,null,null,null,null,null,null,null,null,null,null,null,null,null,null,null,null,null,null,null,null,null,14.9009300730088,15.0193150681439,15.1531869357234,15.0331623830435,14.9109041023339,15.1662966930084,15.3658161441938,15.2262648771301,15.6452525594456,15.8788765064996,16.4337231882745,15.8837734431312,16.6355174167564,15.1560849487267,15.2384001198555,14.8518197249749,14.4946153535409,13.941643518736,13.2171310751848,12.4245753977471,12.4666130117022,11.6756432262948,11.8005770369963,11.0641863439597,11.1585439531637,12.0442315230375,12.7192077260054,12.8508937993221,12.3643048380474,12.5718068272788,12.5995819749724,12.5652545511573,12.9412737247158,12.8254150289857,13.0220303354572,14.3659278940583,14.8773719209135,14.6639345700881,13.9768536025582,14.1174923098835,14.3752469062715,14.8123871094528,15.8239170303248,16.5005837036337,17.1557115895771,17.473510614881,18.1233356988669,19.1764938579895,20.9500399113361,22.0819794585469,19.7692524856185,19.484871533482,19.302468299657,19.0950189745454,18.7303252343301,18.0326702043527,17.9899155153405,17.9573137297524,17.8911925850707,18.3730966098568,17.3884853168959,16.8296546343464,16.3365675261236,15.9344326561012,15.6664533353121,15.8497997071801,15.606622876408,15.2336449462985,14.5995761028103,13.9762676870241,14.1414088456082,14.1923009322409,14.9657689215669,14.5798814546035,14.4383376947722,14.4307422147446,14.1493602696714,14.1658664058435,13.8226533021122,13.6969981805686,13.7936074197089,13.1488415239632,13.6463409369964,13.1107012073644,12.6042484748502,12.9755730873366,13.573127169747,13.5774267510872,13.8414924251937,13.5688442616497,13.3438898806825],"PASP-FDS^FG_PRICE_CHANGE(0,-3AM)":-5.88235294117647,"PLATI-FDS^FG_PRICE(0)":1000.0,"BRENT-FDS^FG_PRICE_CHANGE(0,-1AY)":6.81761632246829,"TUR^FG_PRICE_MAVG(0,,,,30)":42.116333,"GREK^FG_PRICE_MAVG(0,,,,60)":41.28046,"EWT^FG_PRICE_MAVG(0,,,,200)":48.1405,"KSA^PERCENT_CHANGE(FMA_EPS(+1,0,,,,\"PORTAGG\",\"MEAN\"),FMA_EPS(+1,-1AM,,,,\"PORTAGG\",\"MEAN\"))":-4.28576549684211,"TUR^P_PRICE(0)/P_PRICE_LOW_PR(0,,,,,,\"PRICE\",\"INTRA\",\"52W\")-1":0.4304874,"QAT^P_PRICE(0)/P_PRICE_HIGH_PR(0,,,,,,\"PRICE\",\"INTRA\",\"52W\")":0.8828125,"INDA^FG_TOTAL_RETURNC(0,-6AM)":13.288975,"EWT^FMA_PCT_ABOVE_MAVG(200,0,,,,\"PORTAGG\")":75.2808988764045,"EIDO^FG_TOTAL_RETURNC(0,-12AM)":-10.459632,"CNYA^P_PRICE(0)/P_PRICE_LOW_PR(0,,,,,,\"PRICE\",\"INTRA\",\"52W\")-1":0.12375152,"URTH^FG_TOTAL_RETURNC(0,-3AM)":9.529877,"EPHE^FMA_COS_DOWN(\"EPS\",\"1M\",+1,NOW,,,\"PORTAGG\",\"MEANR\")":17.0,"INDA^FMA_RBICS_REV_CURRENT(30, LOC, \"PORTAGG\")":29.5919232588796,"TRYSA10Y-FDS^FG_YIELD_NAME":"Treasury - SAUDI ARABIA Benchmark Bond 10Y","TRYPH10Y-FDS^FG_YIELD_NAME":"Philippines Benchmark Bond - 10 Year","INDA^FG_FCF_YIELD_NTM(0)":2.69071275109166,"EZA^FMA_PE(LTM,0,,,\"PORTAGG\",\"MEANR\")":12.5238015285314,"ECH^FMA_DIV_YLD(NTMA,NOW,NOW,M,\"PORTAGG\",\"MEANR\")":5.32337938706068,"EIDO^P_PRICE(0)/P_PRICE_LOW_PR(0,,,,,,\"PRICE\",\"INTRA\",\"52W\")-1":0.116086245,"VWO^PERCENT_CHANGE(FMA_EPS(+1,0,,,,\"PORTAGG\",\"MEAN\"),FMA_EPS(+1,-1AM,,,,\"PORTAGG\",\"MEAN\"))":0.0,"VGK^FMA_COS_DOWN(\"EPS\",\"1M\",+1,NOW,,,\"PORTAGG\",\"MEANR\")":438.0,"QAT^FMA_COS_DOWN(\"EPS\",\"1M\",+1,NOW,,,\"PORTAGG\",\"MEANR\")":3.0,"EWY^FMA_COS_DOWN(\"EPS\",\"1M\",+1,NOW,,,\"PORTAGG\",\"MEANR\")":37.0,"SET-BKK^FG_ROE(0)":7.52625947359066,"TRYID10Y-FDS^FG_YIELD_NAME":"Treasury - Indonesia Benchmark Bond 10Y","TRYVN10Y-FDS^PCTCHG(FG_YIELD(0,,,,\"YTM\"),FG_YIELD(-3AM,,,,\"YTM\"))":-2.2608078,"TRYID10Y-FDS^PCTCHG(FG_YIELD(0,,,,\"YTM\"),FG_YIELD(-3AM,,,,\"YTM\"))":-1.5633897,"TRYTH10Y-FDS^FG_YIELD_NAME":"Thailand Benchmark Bond - 10 Year","TRYTW10Y-FDS^FG_YIELD(0,,,,\"YTM\")":1.66,"KSA^FMA_EVAL_EBIT(LTMA,NOW,NOW,M,\"PORTAGG\",\"MEANR\")":21.1081184043034,"SET-BKK^JULIAN(FMA_DIV_YLD(NTMA,NOW,NOW,M,\"PORTAGG\",\"MEANR\").DATES)":45471,"EZA^JULIAN(FMA_DIV_YLD(NTMA,NOW,NOW,M,\"PORTAGG\",\"MEANR\").DATES)":45471,"EWT^FG_PRICE_MAVG(0,,,,60)":51.945,"EWM^FG_TOTAL_RETURNC(0,-12AM)":15.061892,"EPHE^FMA_COS_UP(\"EPS\",\"1M\",+1,NOW,,,\"PORTAGG\",\"MEANR\")":9.0,"QAT^FG_ROE(0)":11.1875816384222,"TRYVN10Y-FDS^FG_YIELD_NAME":"Treasury - Vietnam Benchmark Bond 10Y","USDAED^STD(FG_PRICE_CHANGE(0,-3AY,M))":0.008718447877662,"USDBRL^STD(FG_PRICE_CHANGE(0,-3AY,M))":3.65729592104035,"VNM^FG_TOTAL_RETURNC(-10AY,0,AM)":[4.190743,1.5718937,1.7296314,-6.7114115,0.095927715,-10.397702,3.6359549,3.3403993,-10.466904,4.4126034,-8.6169,8.168173,6.440866,-13.458527,-5.666065,10.926521,-5.587566,-10.0061,-8.291036,6.5234065,2.0893335,-1.0585725,2.9957175,-0.20775199,6.384456,0.13046265,-5.667758,2.9696107,-7.981217,-3.5860062,2.3237824,5.22331,-1.5827298,1.5350938,1.1519074,6.1209917,-1.7437994,-3.139931,5.919659,3.0605435,8.134281,1.2608409,12.834239,-0.21119714,1.3756633,-3.4968674,-5.246073,-8.27626,-0.8089602,2.8858185,2.4999976,-7.2575808,-3.8486242,-0.40026307,4.462445,7.4983716,2.6458263,-2.2847056,-1.5587568,-0.66992044,0.36787987,-4.5204697,2.8790832,0.37312508,1.3011217,-3.48624,2.4897099,-6.4174356,-29.893482,16.334284,6.448984,5.4831266,5.4162145,-1.7241359,3.9999962,0.6072879,5.164325,7.5255156,6.312239,3.02521,-2.7188718,9.223043,-3.5312235,6.153846,-6.3968062,3.924191,1.9265294,-0.6552458,4.211068,1.1197686,-4.4350266,0.20253658,-4.749876,-6.100792,-11.864406,-5.000007,-2.024287,6.404948,-6.9902897,-14.961725,-6.873977,7.7381253,6.12098,-7.835531,-2.1043777,2.837491,3.4280896,6.1439037,6.3214064,1.5759349,3.7376523,-15.975529,6.0679555,0.46947002,3.5064697,1.8561482,1.7463923,-11.567158,9.282696,-1.8532813,-5.1927624],"UAE^FMA_DIV_YLD(NTMA,-10AY,0,AM,\"PORTAGG\",\"MEANR\")":[2.56502050028042,2.59064460287797,2.45858817032976,2.92186116735587,2.8731651470882,3.61545485771093,3.39246152583865,3.39936440434137,3.71399252783638,3.1271381853021,3.18129596279132,3.48247253768663,3.51118904742777,3.81949633854921,4.05562895941445,3.8322583116747,4.342812989671,4.16208142534443,4.80352856083811,4.47348835776428,3.94391044461094,3.86458953327312,4.27816327467412,4.05353905418245,3.81765506382648,3.72934817864331,3.68767686243387,3.73966102100122,3.98608827887741,4.12562214110459,3.98463561767834,4.04865474565817,4.18467822732636,3.98358728420975,3.97222012386373,4.07510972591765,3.91978476221376,4.05376768743668,4.09258573585228,4.18214821192261,4.45282703616931,4.50971517643256,4.18122807649567,4.35583310368955,4.50054603377124,4.76068831950686,4.96714054339463,4.93355926325856,4.74187936069452,4.75565763467389,4.83424681310645,4.93684965897645,4.83129656058188,5.14707451900265,5.20991153649931,5.31156176088739,5.18293363258958,4.80098049636646,5.38612590123989,5.19300167313836,5.01915174747121,5.10012294226492,4.75473994739106,4.71677864580507,4.79732016137797,5.07811155090131,5.09364098661708,5.25137472846197,7.33712215864853,5.37608495594072,4.63200539602033,4.4180458903695,4.66360091459572,4.49622048988675,4.25649675122634,4.21838273903065,4.5026246473367,4.38171432668918,4.07765933258473,4.38555032023469,4.45912220413163,4.42429781352996,4.34848277694096,4.38223385123711,4.71877529468075,4.52838963373195,4.16967768435079,4.08105313696178,3.67660805352617,4.11106584594857,4.29835718797867,3.93592279889169,3.69681295647951,3.4759739834431,3.94294952997998,4.32336529004253,4.32871135824389,4.0433487407119,4.13935193383902,4.41117154087662,4.37181240217652,4.68336172854721,4.73297865612472,4.60731228584778,4.94929623268199,4.47384387884808,4.53877717033339,4.50127658253502,4.28358630579615,4.22197712473279,4.38194065529077,4.70061563744324,4.66227587995825,4.68233183710692,4.48730471228607,4.8665441583076,5.09523616200833,5.59902350985834,5.78600049232503,5.93424989921676,5.60282939045871],"UAE^FMA_PE(NTMA,-10AY,0,AM,\"PORTAGG\",\"MEANR\")":[14.9309503090862,14.9286210488233,15.4300533235027,13.168143197639,14.1296316144483,11.4743961472821,11.8648387486469,12.8215067181469,11.6915751283034,13.7690440242599,14.0792565783027,12.9327964147855,12.986024869343,11.6517826857695,11.9587812688973,12.2626012632125,10.8723853074326,10.6569439235031,10.2940432089229,10.9932028102968,12.5149723748218,13.3181008789869,12.3821126341363,12.2049712234254,12.9860445797416,12.6341475067358,12.1644970917849,12.1277918239168,11.4954053625686,11.6535082646776,12.1955756763299,12.41047611544,11.9461344128287,12.1040180344074,11.6460512238754,11.3260737940733,11.700201419774,11.6590966084659,11.2260135649796,11.4935733179164,10.7581234967223,10.8132909225479,11.559445554629,11.2272114129561,10.9566443671515,11.3298194951398,10.5543339892876,10.7373222523624,11.2805041884368,11.1049123000374,11.8802518356135,11.5203169373504,11.9335218522775,11.1690134664616,10.8262752635315,10.8979325981286,11.9355546326715,12.2003979170539,10.7873777287318,11.7384050953921,12.004166778937,12.1180928941487,13.0450012402695,13.2143654754315,13.0222317259012,13.7403787243403,13.8579964150705,12.7797791275333,9.2806319631784,14.1370324990186,15.6873075384351,17.546694008515,16.3948577082404,13.9029849602911,13.9507570627585,12.6786489002792,15.7981952929556,15.4945525684101,16.6012210784704,15.1986799280946,15.3441052514345,14.106749876774,14.284419899438,15.0821755911577,14.1932972460498,14.4321119126127,14.7478241673355,14.5964932726478,15.6373402986279,16.5057929388014,15.8711428626334,15.7388866747987,15.9891842808982,16.4333225776067,14.6229841412281,13.4235947945567,12.8839290388674,13.4775161793392,13.1940567223928,12.439227542426,12.3806320164271,12.2130548999748,12.1187292820895,12.0893469549965,10.8822992508198,11.2219814363625,10.9607743010309,11.1444174885227,11.3708383244819,11.3021917978973,10.9932128320819,10.0492419143664,10.3870938685754,10.2975339170722,10.6454796173005,10.2362119898842,9.71410647091652,9.22405782086431,8.61078286656785,8.3940237763622,8.81354780959394],"VNM^FMA_PE(LTMA,-10AY,0,AM,\"PORTAGG\",\"MEANR\")":[12.7350877746414,12.9636367615865,12.9922012910913,12.9568607792292,12.7733464082575,12.250981185091,12.4509108781616,12.9716865003012,16.6848669109089,16.7860826239706,16.3670458227767,16.6980465223921,17.2759789066297,17.1773527948661,17.9027083089176,23.6511168576726,25.0195628891919,23.044348975655,26.2672465384538,18.8252288517047,-4.73022152359068,-3.15167521303956,-1.11356570726612,0.665644793529822,2.59668803634926,4.17569788571438,6.93508152815459,10.7152682220759,11.7228774967868,13.8965805541651,14.524360879539,15.8951802837904,15.5018920603268,15.6254562096972,15.7954297658205,16.3842774831642,16.1883885680222,17.0664173341496,17.9770272017884,18.2042780596369,19.4560485552195,22.2838718951323,25.0454631688645,23.8292179790327,24.6405574859223,24.2646525331168,24.1464660038178,22.4960548090312,21.8622339002954,21.9929184273946,22.0824259003685,20.1822157670742,19.2699449400302,18.7799108695719,18.3355828390877,19.0128236070991,19.7357151557873,19.659848877502,19.5225609916688,19.1739008766586,18.7787972998325,17.6210496512058,17.6487900764943,17.2611402991259,17.877852791816,17.15074417094,16.2860642630145,15.3188570921677,14.602411985469,15.1866110581733,15.5341429568572,16.2505222600948,16.5584325836918,16.7565867196643,18.1113702593439,18.8188336536976,19.0608608502317,21.5510407803607,23.5514318664089,24.6280025917275,24.0658911450615,23.562705346902,22.702930851576,23.0641767210556,21.3867925962974,21.0346392724448,20.3968140356047,20.1372903998455,19.5330533575147,19.3763036533604,17.2156680828657,17.0975493659174,16.3259584345033,15.9550829251895,15.277372454247,14.7888310849411,13.9230206686868,14.1302368072769,13.7518418058776,12.5189595400137,11.5863883546453,12.0571477039248,12.4448300014783,12.8346897929567,12.4085350615802,12.8749401287942,13.3346285589063,13.6092152909588,13.5969423276043,14.3202511466925,15.3683537026402,15.3315638217957,15.4223926206098,16.127900519801,16.9093909033876,17.005932390635,18.6315547934173,17.9984661412866,18.2825984846225,17.8771118259037,16.9046398822009],"DDR3512M-FDS^MAX(FG_PRICE(0,-5AY))":3.3053632,"BRENT-FDS^FG_PRICE_CHANGE(0,-6AM)":0.0,"TIOS-FDS^FG_PRICE_MAVG(0,,,,30)":108.298,"EIDO^FG_PRICE_MAVG(0,,,,200)":21.33115,"KSA^FMA_PCT_ABOVE_MAVG(200,0,,,,\"PORTAGG\")":55.7377049180328,"INDA^FG_TOTAL_RETURNC(0,-3AM)":9.44866,"EZA^FG_TOTAL_RETURNC(0,-1AM)":-1.9487917,"EWY^FMA_PCT_ABOVE_MAVG(200,0,,,,\"PORTAGG\")":57.5757575757576,"EPOL^FG_TOTAL_RETURNC(0,-12AM)":21.956121,"REFTHREPO-FDS^PROPER_NAME(0,,,\"SECURITY\",\"NAME\")":"Thailand Repo Rate - 1 Day","REFBRSELIC-FDS^FG_YIELD(NOW,,,0)":10.5,"REFPL7D-FDS^(SUBARRAY(NOT_NA(NO_REPEAT_F(FG_YIELD(NOW,-10AY,D))),0,1)-SUBARRAY(NOT_NA(NO_REPEAT_F(FG_YIELD(NOW,-10AY,D))),1,1))*100":-25.0,"TRYZA10Y-FDS^PCTCHG(FG_YIELD(0,,,,\"YTM\"),FG_YIELD(-1AM,,,,\"YTM\"))":-2.925536,"CC_VN^IMF_IFS_RCPI_Q(0)":4.3949327,"CC_ID^IMF_IFS_RCPI_Q(0)":null,"UAE^FMA_DIV_YLD(NTMA,NOW,NOW,M,\"PORTAGG\",\"MEANR\")":5.71773294532797,"EWW^FG_FCF_YIELD_NTM(0)":8.97357756518823,"QAT^FG_TOTAL_RETURNC(0,-6AM)":0.9473443,"USDTWD^FG_PRICE_CHANGE(0,-6AM)":4.061508,"USDPHP^STD(FG_PRICE_CHANGE(0,-3AY,M))":1.75863185756063,"VNM^P_PRICE_RETURNS_PR('52W',2,-10AY,0,AM)":[16.116535,22.397196,26.98121,12.045789,9.977758,1.3891578,-6.60277,-10.791576,-18.346745,-9.554201,-13.284338,-10.855049,-8.336568,-22.40625,-28.74863,-14.443291,-19.301235,-20.645958,-28.276402,-26.067226,-18.18375,-20.116144,-9.9648,-17.25821,-16.98063,-3.944683,-3.9464116,-10.836458,-13.571632,-6.897455,3.878665,2.8331041,-1.497066,1.5131235,-0.30414462,6.0184836,-2.0818055,-5.2182016,6.3551188,6.449032,23.917591,31.380249,44.875313,37.39288,41.522873,34.50916,27.820814,8.906913,9.943092,17.444874,13.012362,1.697886,-9.571767,-11.055165,-16.731209,-11.2925415,-10.181105,-12.82469,-5.0258455,2.3217082,3.535688,-3.9173722,-3.5620391,4.978776,9.962821,6.555748,5.0869107,-8.989822,-37.840565,-26.5688,-19.976664,-15.019578,-10.471755,-8.131182,-6.6658792,-6.9135785,-3.363645,7.1190357,11.67754,22.945976,70.602165,60.173653,45.156467,46.132553,29.709661,37.164642,33.350204,32.742966,31.53975,23.556805,11.19802,9.280479,6.369138,-8.963233,-16.82719,-25.751888,-22.089314,-20.229513,-27.208073,-37.690712,-45.1465,-40.674232,-34.121174,-39.4823,-36.953632,-31.794727,-19.960367,-10.991794,-2.953738,-8.483476,3.3275008,2.0956635,15.271211,8.43891,5.767286,15.720474,21.487272,4.4703126,10.652267,2.0672798,-8.986181],"SET-BKK^FMA_DIV_YLD(NTMA,-10AY,0,AM,\"PORTAGG\",\"MEANR\")":[5.5387451472003,3.44124922735161,3.34403933109158,3.49028728665879,3.34464619686399,3.46994072216952,3.35272852009372,3.16599333208337,3.38796379522021,3.31575780908509,3.3706298280475,3.4758704330085,3.47149437183762,3.6717991536136,3.61478363768203,3.56103835175291,3.65598407666672,3.91418723570796,3.81839142028144,3.57622306039432,3.40912907846106,3.34936246334351,3.44847668054894,3.34611483029138,3.20252443472164,3.12964578990216,3.27953394177276,3.31200812869524,3.3337405048907,3.25265236292312,3.19339931473404,3.10435202903641,3.15671424709883,3.15668771294745,3.20973643851632,3.19166583214173,3.25769205459363,3.23790576546037,3.00752325831717,3.04443715144674,3.01072859050351,3.02573090368825,2.8812822277624,2.96511281421458,3.01085233342291,3.02767187160339,3.10613123938633,3.37192050930498,3.36538148657266,3.27312770003526,3.20481887875758,3.36270421058424,3.43770780903622,3.51430378220492,3.48437586122467,3.308039122034,3.32376741835663,3.24691149274034,3.37641639331488,3.16062241383672,3.11025812977473,3.28888579039696,3.26089579283042,3.25412574291958,3.20119697291925,3.24951463311082,3.19754511529373,3.38869130276604,4.59231446631435,3.56333426689112,3.19073538691713,3.01872842567079,3.0228279039256,3.10890584446407,3.13230879396745,3.27661462885409,2.84835205258138,2.74445538366353,2.70465777336354,2.82879294582819,2.77011910197297,2.82974993122024,2.92371157404089,2.8302475889786,2.97947448101066,2.97339099439007,2.84895312968822,2.83852037254207,2.80347572106106,2.88106146836957,2.85982081148618,2.82043922855902,2.91301254448226,2.99442973302944,3.08323118483952,3.1760251711008,3.22987105015028,3.112523969591,3.08848314302413,3.1784917722832,3.05946407053516,3.04722801004662,2.94816546770789,3.01878966009978,3.19481628890458,3.1310632412172,3.20543403573643,3.09976261918914,3.0998758961685,3.13820851274863,3.15330729085019,3.3826888545345,3.34949444047333,3.40864564537134,3.49480824101137,3.45107529684509,3.49196308516566,3.65878727942381,3.62054456793884,3.85517741526619,3.79416737861151],"DDR3512M-FDS^FG_PRICE_CHANGE(0,-1AY)":-6.41250337093007,"PASP-FDS^FG_PRICE_CHANGE(0,-1AM)":8.47457627118644,"CPALM-FDS^MAX(FG_PRICE(0,-5AY))":8163.0,"TIOS-FDS^FG_PRICE(0)":108.73,"FC0000QA^FG_PRICE(0)":101.947556,"TUR^FG_PRICE(0)":43.73,"GREK^FG_PRICE_MAVG(0,,,,30)":40.912754,"VNM^P_PRICE(0)/P_PRICE_LOW_PR(0,,,,,,\"PRICE\",\"INTRA\",\"52W\")-1":0.04691577,"GREK^FMA_RBICS_REV_CURRENT(30, LOC, \"PORTAGG\")":41.9107789519585,"TRYDE10Y-FDS^FG_YIELD(-10AY,0,Y,,\"YTM\")":[0.5475,0.636,0.22,0.47,0.239,-0.189,-0.575,-0.181,2.534,2.004],"CAGDPY@CL^EE_ACTUAL_ANNUAL(MED,0)":-3.68653581083686,"USDBRL^STD(FG_PRICE_CHANGE(0,-1AY,AM))":2.85622506730142,"USDCNH^FG_PRICE_CHANGE(0,-1AY)":0.66131353,"UAE^FG_TOTAL_RETURNC(-10AY,0,AM)":[4.136157,-0.41373968,5.2762747,-15.035516,4.9233556,-16.555994,5.776036,0.87269545,-9.7200985,18.750214,-1.1935592,-2.0652533,2.4451733,-9.005904,-3.623581,2.9180765,-14.449292,-4.143405,-9.282822,11.773359,12.409485,2.684033,-7.4332895,2.4645686,6.7759037,1.3442397,-2.7970076,-2.907145,-3.4524858,8.924044,1.6369224,0.92378855,-3.3180773,0.7692337,2.1139145,0.805068,4.548204,-1.9058287,1.0857224,1.1305809,-5.589718,-1.8918693,9.7753525,-6.1393857,-3.1231523,0.6751776,-3.571993,2.5826693,0.48521757,-0.88769794,-2.6248395,-1.8408895,0.60281754,-7.8352094,2.396512,-1.1347592,4.1606903,6.6797495,-11.232477,0.45672655,6.2265515,-3.5282433,3.584075,1.6961217,-4.3780384,-2.6889503,2.2031426,-5.443925,-29.675419,8.571423,2.2267222,6.9461346,-1.4160097,6.785536,1.2059331,-3.2502294,6.6752553,8.060228,9.786188,-3.2209754,2.7089834,1.4317989,5.8692455,3.801012,-3.4989476,4.641044,4.8322916,-3.1882763,13.499487,5.001557,-3.9021552,3.272736,6.9835544,4.1689515,-9.057397,-6.0822725,-1.5132368,6.5941095,-2.5825858,-5.733657,2.0274758,-2.0302832,-1.4426231,-0.6653309,-8.171469,6.9292426,-0.20463467,2.23006,2.953291,0.40026903,0.46511889,-7.208997,6.9850326,-3.0646265,3.2818198,0.0,0.0,-3.4159422,-0.27739406,-2.4957001,5.782068],"TUR^FMA_PE(NTMA,-10AY,0,AM,\"PORTAGG\",\"MEANR\")":[10.8905495978136,10.2362950447327,9.70964366637869,9.49224516641816,10.1161014888824,10.2612289470536,10.7551082482589,10.628975347382,10.0425337488226,10.0604018131133,10.8685517070269,10.0411538827324,9.98283093551732,8.93811146173867,8.92475458111996,9.37483294217834,9.36900885131362,8.24796757776098,7.95993148465543,8.24284091855681,9.28209980035454,9.41429523858841,8.43296676520198,8.1618370031192,8.19046955061973,8.48167375448263,8.38055606308953,8.38539881463027,7.70074457444191,7.61327231943264,8.04413879992297,8.6423529837716,8.55348959048189,8.38360548501807,8.51634871214939,8.66273281840993,9.01672753929082,8.54420577807073,8.23908550103824,8.32959525645968,8.01638829958981,7.90456395077888,8.16091755724792,8.0900156144236,7.79979695792216,7.46022104634923,6.7291145030929,6.24873819984538,6.010706445597,5.71468686541867,6.02018626309077,6.02396054150641,5.78684118473273,6.02428317277,6.84228789649919,6.96729263896506,7.31004778550894,6.31080147274818,5.60049207781887,6.16265955878994,6.54509855295481,6.16118569660339,6.31327538727211,6.06573319804206,6.45483180161293,6.34830645309078,6.77014940795671,6.585960617051,4.8649795083494,5.8896391720188,7.16530006065754,8.415417166716,8.38443415493236,7.92284530247576,7.50646408432944,7.71905107092732,8.26743208989847,7.80935862174764,7.96550347521992,7.38321219230671,7.28167452315801,6.1798017266668,6.32986243163655,5.84824034275255,5.47825202902978,5.4353580087492,5.2632989956639,5.13252937294936,5.84939873950477,6.48543385790177,5.53487743675904,4.58168778582733,4.64877421467023,5.16126134671057,4.38410604554046,4.82426966510755,4.32979816456227,4.49632546124071,4.43278718626098,4.89437089452627,5.24111249627342,5.76081377327915,5.59726736334749,4.97431441964225,4.98773061743094,4.73985010352466,4.05237787525825,4.91888613006569,5.52067453145554,5.97869695798068,5.70327270578291,5.46568401252332,4.85958719341263,4.59093636346727,4.68307643601941,5.34345151017194,5.02095365973387,5.50978425582,5.92641048108361,5.85448828404521,6.38842321139958],"UAE^FMA_PE(LTMA,-10AY,0,AM,\"PORTAGG\",\"MEANR\")":[null,null,null,null,null,null,12.1380216727148,12.7300880296888,12.8758965433119,13.4955075964412,13.8332287977379,13.484901024235,13.6470482098043,12.9523801166474,13.3468019415394,13.7566111920033,12.3619633274297,12.0750336100751,11.8573687507711,12.5338123840076,13.0746238895343,13.3261642142566,13.1205506200934,13.0873852895696,13.6346308342217,13.590505314822,13.4870147370929,13.4989085655834,12.6495547411964,12.7245044598655,13.4963956010919,13.5463670009058,13.3423337538435,13.3205899970322,13.1264844756755,12.9275221720271,13.0922016404314,13.0130709328631,12.3932851163441,12.4397088757706,11.4835092089182,11.6377534310996,12.4029980254182,12.4862283407948,12.3404006894835,12.4090553899812,11.9474272291493,11.9217596531598,12.2347158381313,12.1412415285192,12.7464552081669,12.6261405933669,13.0368801891521,12.0327249176743,11.956436920481,12.2815278954628,12.7804413957441,12.8607688093344,12.3347366789729,12.8201372734422,13.0847276944395,13.6979504052874,14.5292953490339,14.2506650087602,14.4250647722142,15.894751821683,16.1477028407873,15.1288436869039,13.9306296467202,15.1785186710938,16.1720086924044,17.7346398185643,18.0935115879413,16.3228891830046,17.7108301149026,16.6795545074014,25.7876311059006,24.4974557306285,27.497274573196,28.0360120385131,26.8923190448041,25.4126743143357,24.2688769301492,23.5226872377384,22.0946707443835,21.1677255240243,20.3303928142127,18.8896132805847,18.8755288117508,18.0789604492144,16.8712478917528,16.8330932735826,17.2480534672289,17.3843994499083,16.7203377214337,15.995289075193,15.4324060781002,15.5932865642533,15.2178736703292,14.2486902407608,13.8786796921988,13.2732458055855,12.517433058692,12.5845401569445,12.1111903861482,12.07423355369,11.8548605314737,11.8042196262035,11.7417188916896,11.4912628027338,11.1101436320105,10.4098412007449,10.3842272299525,9.99078369500395,10.2709324331144,9.61770348224392,9.42739811689583,9.3289000571329,9.08297173458721,8.95767675581646,9.14454202957314],"BRENT-FDS^FG_PRICE_CHANGE(0,-3AM)":0.0,"EIDO^FG_PRICE_MAVG(0,,,,60)":19.9855,"INDA^FG_TOTAL_RETURNC(0,-1AM)":1.206994,"EZA^PERCENT_CHANGE(FMA_EPS(+1,0,,,,\"PORTAGG\",\"MEAN\"),FMA_EPS(+1,-1AM,,,,\"PORTAGG\",\"MEAN\"))":-0.749559096932318,"EWW^FG_TOTAL_RETURNC(0,-12AM)":-6.20082,"EPOL^P_PRICE(0)/P_PRICE_LOW_PR(0,,,,,,\"PRICE\",\"INTRA\",\"52W\")-1":0.48538363,"EIDO^P_PRICE(0)/P_PRICE_HIGH_PR(0,,,,,,\"PRICE\",\"INTRA\",\"52W\")":0.84654087,"CNYA^FG_TOTAL_RETURNC(0,-6AM)":6.468165,"VWO^P_PRICE(0)/P_PRICE_HIGH_PR(0,,,,,,\"PRICE\",\"INTRA\",\"52W\")":0.9607436,"VWO^FMA_PCT_ABOVE_MAVG(200,0,,,,\"PORTAGG\")":45.8530296519123,"VGK^FMA_COS_UP(\"EPS\",\"1M\",+1,NOW,,,\"PORTAGG\",\"MEANR\")":515.0,"QAT^FMA_COS_UP(\"EPS\",\"1M\",+1,NOW,,,\"PORTAGG\",\"MEANR\")":3.0,"EWY^FMA_COS_UP(\"EPS\",\"1M\",+1,NOW,,,\"PORTAGG\",\"MEANR\")":44.0,"EZA^FMA_RBICS_REV_CURRENT(30, LOC, \"PORTAGG\")":44.0100715574757,"REFQALEND-FDS^(SUBARRAY(NOT_NA(NO_REPEAT_F(FG_YIELD(NOW,-10AY,D))),0,1)-SUBARRAY(NOT_NA(NO_REPEAT_F(FG_YIELD(NOW,-10AY,D))),1,1))*100":25.0,"REFBRSELIC-FDS^PROPER_NAME(0,,,\"SECURITY\",\"NAME\")":"Brazil Target Selic Rate","REFPL7D-FDS^FG_YIELD(NOW,,,0)":5.75,"TRYVN10Y-FDS^PCTCHG(FG_YIELD(0,,,,\"YTM\"),FG_YIELD(-1AM,,,,\"YTM\"))":-0.15009621,"TRYBR10Y-FDS^PCTCHG(FG_YIELD(0,,,,\"YTM\"),FG_YIELD(-3AM,,,,\"YTM\"))":5.3905096,"TRYID10Y-FDS^PCTCHG(FG_YIELD(0,,,,\"YTM\"),FG_YIELD(-1AM,,,,\"YTM\"))":-2.8554094,"TRYQA10Y-FDS^FG_YIELD(0,,,,\"YTM\")":null,"CC_AE^IMF_IFS_RCPI_Q(0)":null,"CC_CL^IMF_IFS_RCPI_Q(0)":null,"KSA^FMA_EVAL_EBITDA(NTMA,0,,,\"PORTAGG\",\"MEANR\")":11.0842910409795,"TRYKR10Y-FDS^FG_YIELD(-10AY,0,Y,,\"YTM\")":[2.6272,2.0852,2.0916,2.4797,1.9804,1.6728,1.7238,2.2417,3.6906,3.1928],"USDAED^FG_PRICE_CHANGE(0,-6AM)":0.0013589859,"USDPHP^STD(FG_PRICE_CHANGE(0,-1AY,AM))":1.62088197197027,"UAE^P_PRICE_RETURNS_PR('52W',2,-10AY,0,AM)":[null,null,null,null,null,null,null,null,null,null,-12.189752,-10.103112,-10.642302,-19.193108,-26.024372,-10.392809,-26.937538,-14.986837,-28.018082,-20.239449,-1.7407715,-14.124638,-19.547754,-17.01889,-12.268251,-2.289188,-1.4511585,-7.0290804,5.934274,19.22474,33.57595,19.898092,4.0703535,1.8007278,12.300312,10.481512,8.176506,4.8282385,8.889818,13.418126,11.400986,-0.105410814,7.8935027,1.7984748,0.544858,0.45101643,-4.261434,-3.4695804,-7.220978,-5.174285,-9.699005,-12.35227,-6.6033125,-12.261236,-16.660744,-13.795072,-7.313609,-2.6618183,-9.786898,-11.461639,-6.402892,-8.896505,-3.0874908,0.33739805,-4.566443,0.7623434,1.507926,-3.8115144,-35.05789,-33.21693,-23.884995,-18.968046,-23.336155,-16.758125,-18.66923,-22.625048,-13.680977,-4.7152877,2.9659748,5.3866267,53.917076,43.795525,48.919224,46.688473,41.48581,38.64448,43.349503,43.704258,52.897297,47.97444,30.045593,38.6641,44.43804,48.44748,27.5177,15.618968,17.750347,19.94809,11.46406,8.533442,-2.8341413,-8.970338,-6.6405296,-9.8035755,-23.341846,-20.878893,-13.176888,-6.0257616,-1.2064159,-6.497729,-4.035836,-5.5377364,-1.0112286,-1.993531,2.7045012,3.670156,12.592899,1.6997695,1.4183521,-3.0721962,-0.4089713],"TUR^FG_TOTAL_RETURNC(-10AY,0,AM)":[4.866791,-5.3854046,-7.0922017,-1.6637266,8.9172,-1.5350878,4.73274,-7.6555014,-11.091918,-0.1942575,10.813152,-10.089779,2.7465224,-17.711943,-4.3626785,11.541629,3.5230398,-12.232267,-7.1316004,6.9217205,17.836655,6.6064,-17.047184,2.5950193,-3.3214688,7.241285,-2.973044,-0.51933527,-13.756198,-3.3293009,-1.06498,14.294779,1.5807033,-0.27300715,9.991789,4.853165,8.318317,-0.76387525,-1.3357401,-1.698029,-7.6563954,3.9114714,6.5381765,2.9539704,-6.6614747,-4.110563,-17.122274,-11.127281,-4.004174,-22.92347,5.2705884,10.192215,3.5699844,-3.3046305,9.427059,3.0449271,-1.333338,-11.760407,-13.990063,16.499317,8.902073,-5.488515,3.6655664,-3.0591965,11.229504,-2.0854414,11.149157,-6.1622677,-33.783295,10.964191,4.766643,8.450615,3.827548,-10.635596,-5.405402,2.3558855,16.062689,5.2379727,12.06758,6.999278,-4.1932225,-18.662464,2.1523833,-6.5292063,-2.878368,8.221793,-1.72261,-6.6966295,1.5895963,-18.50922,20.338976,-2.2826552,-3.0815125,20.769226,-12.526536,-3.8015604,-2.6466012,15.618336,5.5786014,17.860258,11.893296,21.064556,0.24739504,-6.580758,2.8764248,-3.2239676,-13.266504,3.2098413,6.311846,12.483954,4.0798903,-3.8651288,0.25663376,-3.1854331,0.05055666,14.035606,-8.456934,8.612847,12.928557,-1.9765377,4.667306],"QAT^FMA_DIV_YLD(NTMA,-10AY,0,AM,\"PORTAGG\",\"MEANR\")":[3.94192610040388,3.93409491302383,3.86903228734096,4.25418508877838,3.9818947700404,4.85941847789586,4.70438429196102,4.11039759846993,4.5186643550059,4.53462125896666,4.50715271668592,4.67360015080424,4.6352944494029,4.87961714328912,4.96159219109809,4.81628814279857,5.22091438834813,5.68898531930651,6.19074079750097,5.0455969803331,4.19151459338304,4.23227536914593,4.3537727004714,4.27164876486514,3.98158796227929,3.55197995736034,4.05442170750102,3.89903187140204,4.19746647139295,3.9530481212028,3.57440500118084,3.72473641547624,3.85666512334892,3.85398207056168,3.92041157493468,4.4041405443573,4.13753796390005,4.25629788503364,4.88524064958077,4.51143750976597,4.65580235692523,4.2884000997426,4.10848494301487,4.55566108992938,4.86496559721308,4.64555738981559,4.85181258210376,4.8218364836847,4.6706506049799,4.57836209980034,4.42576422814875,4.27875947377354,4.27719741252595,4.48827365137536,4.36074409124219,4.69796670387795,4.66798986652715,4.3048182946762,4.47254344877878,4.11865660352158,4.13074173383973,4.41743472541674,4.12173713607818,4.09641318479571,4.06927730980791,4.06425139066032,3.8897041573634,4.32720281406202,4.65246126566064,4.46307294559949,4.21561588640687,3.89234561210106,3.79264676503694,3.6209445139865,3.49044157606435,3.58698263259898,3.7069403704657,3.7083386603628,3.78986400082938,3.84471500820621,3.88295965930224,3.71237044514641,3.8295359963467,3.83751110560509,3.90710235252668,3.87380481032056,4.09515172575273,3.82824437857779,3.83260864503542,3.99637489761264,3.8916209096801,3.97369479813036,3.71905937512898,3.7075596772303,4.16355030891421,4.43126991224355,4.26639382346854,3.64580577756877,3.96432184246976,4.01867758622792,4.1651048316706,4.66100496285981,4.67123226562761,4.69929151085292,5.04109386107177,5.06731389497367,4.63107270456324,4.66085418732496,4.66819178036293,4.52561702338423,4.70517554124538,4.91925410522217,4.82458300564202,4.92524734968052,4.79203290142555,4.81861668669296,4.81895388970048,5.71478226759841,5.78120854826421,5.74677165918233,5.46200258672007],"DDR3512M-FDS^FG_PRICE_CHANGE(0,-6AM)":-6.78597116707713,"PASP-FDS^FG_PRICE_MAVG(0,,,,30)":966.06665,"CPALM-FDS^FG_PRICE(0)/MAX(FG_PRICE(0,-1AY))":0.87639222537672,"FC0000BR^FG_PRICE(0)":189.46117,"SET-BKK^FG_PRICE_MAVG(0,,,,200)":1380.093,"GREK^FG_PRICE(0)":42.28,"EWT^FG_PRICE_MAVG(0,,,,30)":54.258335,"VNM^P_PRICE(0)/P_PRICE_HIGH_PR(0,,,,,,\"PRICE\",\"INTRA\",\"52W\")":0.77021414,"TUR^FG_TOTAL_RETURNC(0,-6AM)":31.368721,"QAT^FG_TOTAL_RETURNC(0,-3AM)":1.8745422,"EWZ^FG_TOTAL_RETURNC(0,-12AM)":-7.144201,"EWM^P_PRICE(0)/P_PRICE_LOW_PR(0,,,,,,\"PRICE\",\"INTRA\",\"52W\")-1":0.14736319,"CNYA^FG_TOTAL_RETURNC(0,-3AM)":-0.8898854,"EWW^SIZE(FG_CONSTITUENTS)":44,"EIDO^SIZE(FG_CONSTITUENTS)":72,"EWZ^FMA_RBICS_REV_CURRENT(30, LOC, \"PORTAGG\")":26.132781240692,"MCHI^FG_ROE(0)":10.7401613284734,"UAE^FMA_PE(LTM,0,,,\"PORTAGG\",\"MEANR\")":10.3338944614942,"QAT^FMA_EVAL_EBITDA(NTMA,0,,,\"PORTAGG\",\"MEANR\")":8.74241429806621,"ECH^FMA_PE(LTM,0,,,\"PORTAGG\",\"MEANR\")":13.0709012136777,"INDA^FMA_PE(LTM,0,,,\"PORTAGG\",\"MEANR\")":28.076650415509,"TUR^FG_FCF_YIELD_NTM(0)":6.9503337398499,"EWZ^FMA_PE(NTMA,0,,,\"PORTAGG\",\"MEANR\")":7.36033011849273,"GREK^FMA_COS_UP(\"EPS\",\"1M\",+1,NOW,,,\"PORTAGG\",\"MEANR\")":4.0,"REFTWDISC-FDS^FG_YIELD(NOW,,,0)":2.0,"VGK^FMA_EVAL_EBIT(LTMA,NOW,NOW,M,\"PORTAGG\",\"MEANR\")":13.2913540467443,"TRYPL10Y-FDS^FG_YIELD(-10AY,0,Y,,\"YTM\")":[2.5048,2.9303,3.6245,3.292,2.8144,2.1086,1.235,3.6216,6.8411,5.1912],"USDBRL^FG_PRICE_CHANGE(0,-6AM)":12.629986,"USDMYR^STD(FG_PRICE_CHANGE(0,-3AY,M))":2.20071611614739,"QAT^FMA_PE(NTMA,-10AY,0,AM,\"PORTAGG\",\"MEANR\")":[15.8135612087406,16.0166888442695,16.1316344992639,14.5630225522606,15.2470704352615,12.3296308546007,13.3506664029115,13.9650993923902,12.8598571933277,13.308492723342,13.6082168635989,13.1115570757653,13.4224668322726,12.813306221039,12.6773699049401,12.8610854349375,11.932748238285,10.1023022231707,9.97829730811638,11.6092799634155,12.1761635537777,12.2493119783406,11.4514753511746,11.6985473208104,12.6244339432914,13.7407005216547,12.329941492598,12.9644645896536,12.1909818873993,12.9565341841887,13.894953069341,13.4409867796861,12.7918310245181,13.0405575523193,13.0186153992954,12.0631230879888,12.4962208675307,12.101783107213,10.7625762442341,10.8354424436138,10.8631341534545,11.894204271819,12.1340224251577,11.6819665172141,11.2944959864368,11.7592470224493,11.2761461153949,11.3674441619742,11.5199828701837,11.9207790361592,12.3251152423948,12.6867234622211,13.0366428934889,13.131784120571,13.5428392907554,12.3779969837185,12.3599643652757,12.9962644744029,12.170677221671,13.1293428217093,13.3146232989519,12.4356127542435,13.4726069667801,13.6425230361022,13.2793826382184,13.714974612385,14.2186545133171,13.1144139919952,11.6833769785835,12.3037472347858,13.8159839904804,14.7251629640878,15.0764675781205,15.711543871366,15.2475068020761,15.3821823309087,14.9800675964743,14.3315133225311,14.3307473262466,13.4570796607586,13.5346605528826,14.0759405503043,13.7746928566113,13.5269807528396,13.0097417534814,13.4513116997931,13.2319191044104,13.492027071309,13.6559788618968,13.1443345649706,13.7076699968521,13.6645929212682,14.1950607397659,14.069987320718,12.6764372918895,12.1075388375578,12.3375507262775,14.231124785113,12.9003225323743,12.5245847743409,12.639232483208,11.5055313799909,11.3601116946174,11.1677464538976,10.4911925378643,10.5950540370439,11.2376527264479,11.231356362982,11.2556362919579,11.3329025335136,10.8898192370552,10.3194161312259,10.7528516656098,10.4699801534643,10.7300395607776,10.5547570925604,10.536794125718,10.0463926059051,9.93466846675838,9.85442775829632,10.4058083564645],"TUR^FMA_PE(LTMA,-10AY,0,AM,\"PORTAGG\",\"MEANR\")":[10.7556040256946,10.5806938900316,10.476146482785,10.4004087720125,11.198411661017,11.4919765673879,12.1369073121561,12.2499957171694,11.7914284967203,11.6942712353265,11.9580125903696,11.5892266633289,11.4996496795064,10.7691849275053,10.6624499311918,11.099039183975,11.2822290696697,9.99622692082334,9.57770686911334,9.54259338031482,9.87324968359107,9.91697776702818,9.56456504903879,9.4003335441376,9.36169344239094,9.53855310986375,9.50037883464272,9.46375672517657,8.97706567035386,8.92463056739265,9.30706284908908,10.0518872123403,9.84499741559439,9.70746988016349,9.70250789185211,9.69428246017876,9.84724103010274,9.49050807802057,9.22664593169013,9.22802632951873,8.87312362116291,8.75487558175575,8.93517479696829,9.08109711466462,9.10426313307389,8.91162933914156,8.52414530250322,8.12356174545331,7.79446131096104,7.36379810236724,7.56319167093035,7.40518917722018,6.94037565960308,6.69321309189195,7.13176287036923,7.24080472174143,7.48284489025492,7.23709283046403,6.95084271763806,7.2477560934075,7.54045075367446,7.41248054317891,7.63484808146866,7.54716596033597,8.34649200655296,8.82379463848942,9.53087435231232,9.03506827239566,7.74482606888997,7.82160302286373,8.36892891033527,9.32421867098642,9.69855776814369,9.97188499108289,10.1096425396033,11.2056082341614,12.9663565515352,12.8337141635483,13.8267293939435,12.2331019420694,11.3502975244853,10.6486919918563,10.2655648899802,9.59984067290872,8.93572087033429,8.3174660653012,7.76543609936519,7.06870067594686,7.26526515379886,7.79242914116463,7.00380134283022,6.11279653693251,5.76179904261295,5.81897407504565,5.42959512062362,5.53229750345601,5.19324078549889,4.953070431127,4.69041022224335,4.88939513533946,4.9445778004335,5.17871853094028,5.24002071383248,4.56531012677177,4.71962078054868,4.69397880210802,4.47521428240424,4.8920828905051,5.47332189203396,6.04690991839639,6.15192016747502,6.18635020846203,5.66966643508039,5.57511411631133,5.78564446225739,6.74277943772088,6.52576037388403,6.58503414502896,6.75425460922632,6.79585020728636,7.15328925169225],"BRENT-FDS^FG_PRICE_CHANGE(0,-1AM)":0.0,"FC0000PE^FG_PRICE(0)":819.08,"EWT^FG_PRICE(0)":53.14,"EIDO^FG_PRICE_MAVG(0,,,,30)":19.428667,"INDA^PERCENT_CHANGE(FMA_EPS(+1,0,,,,\"PORTAGG\",\"MEAN\"),FMA_EPS(+1,-3AM,,,,\"PORTAGG\",\"MEAN\"))":-1.45301317072069,"EWW^P_PRICE(0)/P_PRICE_LOW_PR(0,,,,,,\"PRICE\",\"INTRA\",\"52W\")-1":0.117483616,"EPOL^P_PRICE(0)/P_PRICE_HIGH_PR(0,,,,,,\"PRICE\",\"INTRA\",\"52W\")":0.9348409,"EIDO^FG_TOTAL_RETURNC(0,-6AM)":-5.8987436,"VWO^FG_TOTAL_RETURNC(0,-6AM)":11.383141,"VGK^PERCENT_CHANGE(FMA_EPS(+1,0,,,,\"PORTAGG\",\"MEAN\"),FMA_EPS(+1,-3AM,,,,\"PORTAGG\",\"MEAN\"))":3.25392176699266,"KSA^SIZE(FG_CONSTITUENTS)":124,"MCHI^SIZE(FG_CONSTITUENTS)":651,"INDA^FG_ROE(0)":15.3132121640354,"REFQALEND-FDS^FG_YIELD(NOW,,,0)":6.25,"REFKRBASE-FDS^(SUBARRAY(NOT_NA(NO_REPEAT_F(FG_YIELD(NOW,-10AY,D))),0,1)-SUBARRAY(NOT_NA(NO_REPEAT_F(FG_YIELD(NOW,-10AY,D))),1,1))*100":25.0,"REFPL7D-FDS^PROPER_NAME(0,,,\"SECURITY\",\"NAME\")":"Poland Reference Rate - 7 Day","TRYAE10Y-FDS^PCTCHG(FG_YIELD(0,,,,\"YTM\"),FG_YIELD(-3AM,,,,\"YTM\"))":null,"TRYBR10Y-FDS^PCTCHG(FG_YIELD(0,,,,\"YTM\"),FG_YIELD(-1AM,,,,\"YTM\"))":0.3967208,"TIPSCL10Y-FDS^PCTCHG(FG_YIELD(0,,,,\"YTM\"),FG_YIELD(-3AM,,,,\"YTM\"))":2.4141195,"TRYQA10Y-FDS^FG_YIELD_NAME":"Treasury - Qatar Benchmark Bond 10Y","TRYMY10Y-FDS^FG_YIELD(0,,,,\"YTM\")":3.807254,"CC_TR^IMF_IFS_RCPI_Q(0)":null,"CC_CN^IMF_IFS_RCPI_Q(0)":null,"KSA^FG_FCF_YIELD_NTM(0)":null,"QAT^FG_FCF_YIELD_NTM(0)":null,"EWZ^FMA_EVAL_EBITDA(NTMA,0,,,\"PORTAGG\",\"MEANR\")":4.60674175498877,"EWW^FMA_PE(NTMA,0,,,\"PORTAGG\",\"MEANR\")":11.4817905821399,"EPU^FMA_EVAL_EBIT(LTMA,NOW,NOW,M,\"PORTAGG\",\"MEANR\")":12.4680499889226,"EPHE^FMA_DIV_YLD(NTMA,NOW,NOW,M,\"PORTAGG\",\"MEANR\")":3.30354637852587,"INDA^FG_COMPANY_NAME":"iShares MSCI India ETF","UAE^JULIAN(FMA_DIV_YLD(NTMA,NOW,NOW,M,\"PORTAGG\",\"MEANR\").DATES)":45471,"EPHE^JULIAN(FMA_DIV_YLD(NTMA,NOW,NOW,M,\"PORTAGG\",\"MEANR\").DATES)":45471,"TRYMY10Y-FDS^PCTCHG(FG_YIELD(0,,,,\"YTM\"),FG_YIELD(-3AM,,,,\"YTM\"))":-4.231417,"EWM^FG_ROE(0)":8.18856988916425,"USDAED^FG_PRICE_CHANGE(0,-1AY)":-0.0013589859,"USDPHP^FG_PRICE_CHANGE(0,-6AM)":4.299259,"TUR^P_PRICE_RETURNS_PR('52W',2,-10AY,0,AM)":[-1.7637253,1.656878,-15.0176525,-13.806337,0.4448533,8.253336,25.65378,23.247646,7.795179,-10.767567,-4.423255,-16.875208,-16.17617,-29.16655,-28.5402,-17.294025,-21.390062,-29.564167,-37.867855,-28.059864,-5.589634,1.8446326,-23.760855,-11.526084,-18.142574,6.6800714,8.230162,-3.4727395,-19.775217,-11.427098,-5.641073,1.1419535,-12.337875,-18.660105,7.8531384,10.227001,23.497986,14.423466,16.207754,14.830875,24.003458,32.161903,42.318546,31.068539,17.795313,13.262463,-12.008029,-27.664667,-35.893665,-49.54621,-46.87481,-40.448982,-33.20926,-37.847527,-37.549347,-36.1058,-32.45846,-38.789867,-35.53647,-15.446925,-4.0791035,17.618502,15.825224,1.3209224,9.432137,10.811925,15.164447,2.4988055,-31.211489,-15.3873625,5.368221,-1.9114554,-3.9778411,-11.575079,-21.160507,-14.805275,-11.103374,-4.780555,-3.6649704,9.846854,58.933796,16.499603,13.592577,-2.3123622,-8.420706,10.904062,14.418888,5.031419,-8.066064,-27.646996,-23.556911,-30.1413,-28.88006,4.858756,-10.209065,-9.190816,-7.368273,-1.037252,6.3148856,34.29632,44.894363,119.749306,83.060326,75.5319,83.974266,48.860596,47.60132,60.52512,72.931435,66.40204,65.85501,35.28266,22.881817,-3.0662894,-3.256607,18.232166,5.0836205,17.936552,47.153175,45.839203,43.583214],"SET-BKK^FG_TOTAL_RETURNC(-10AY,0,AM)":[4.890859,0.6156206,2.7261257,-3.545946,3.1948566,-4.006219,1.388061,4.2068005,-4.2394757,2.266121,-2.609694,-2.2608697,-0.8146286,-6.7727566,0.8121133,1.9125104,-2.254206,-7.2239757,-1.4716923,4.2795777,4.754615,2.3890853,-2.1285295,2.5586963,4.9728513,3.134048,-2.9913723,-0.43209195,-0.8356452,3.293395,2.1334767,1.4766335,-1.0685503,0.39782524,-1.1198342,2.032733,-0.3345728,-0.5914211,6.7703724,0.64810514,1.5414953,1.3414264,5.1393747,-0.64073205,-0.5459547,-0.26947856,-2.271378,-6.5347137,0.44829845,2.620089,3.5360098,-4.679966,-1.8843949,-2.160734,-1.0836124,3.2795072,-0.34357905,2.699852,-3.941816,6.0860276,1.706934,-5.6388674,0.20766258,-0.56257844,-1.482141,-2.0992398,1.7140031,-5.9319677,-30.643494,18.67956,5.705917,4.6467423,-0.81994534,-3.7445307,-1.5496671,-6.1813592999999996,13.2922535,8.248747,2.712524,-1.4501572,4.228556,0.7001519,-0.8044958,3.2479048,-3.5319686,-0.75384974,5.269122,0.291574,0.8997917,-0.2024293,1.0056496,3.314352,-2.0248652,-0.17217994,-4.156077,-2.9010296,-1.6647518,6.031573,0.34749508,-2.6263058,1.8039703,0.05069971,4.3431044,-2.1800637,-5.32794,1.0910153,-4.1651607,2.774465,-1.3025761,-1.1401534,0.25277138,-6.5609035,-0.51017404,-1.4748037,-0.8882344,0.3486395,-0.3510356,-3.644228,3.7985802,-5.7034254,1.0216236],"MCHI^FMA_DIV_YLD(NTMA,-10AY,0,AM,\"PORTAGG\",\"MEANR\")":[3.61653797492343,3.46271575638703,3.58797145447014,3.81142944054071,3.741869894797,3.49895489613233,3.2412769163918,3.10463284572891,3.09706554797519,2.52602417744658,2.5571481981858,2.78909809257545,3.05811300566137,3.29118028382204,3.39160235589192,3.16190414388789,3.21103841945692,3.29907441936571,3.23494902459717,3.24624904823429,2.97609568848594,2.82577384148541,3.08938535180879,2.6965323775767,2.48270784637866,2.31340741807176,2.25792150527772,2.26507874004365,2.35505652924546,2.42784501710669,2.33237858543452,2.24090422027,2.1895725387955,2.31405781911202,2.20163780748207,2.1590728475608,2.10543045266079,2.14807546780669,2.08086942848084,2.08241297154226,2.00993653533245,2.08929702601649,1.95848362251792,2.08170325913802,2.07108308153118,2.29389780289844,2.2468915272783,2.3250664109754,2.42851275678558,2.59641502864078,2.63466520553784,2.89332487763061,2.76788567267207,2.83520974109784,2.66021922756383,2.54602963787718,2.39804641807825,2.33510328502703,2.55440339916219,2.52014155871218,2.46958485602106,2.56459688622692,2.47194948378355,2.51712387403197,2.46475312575542,2.2822060279819,2.19716267165448,2.21597862091044,2.6262012884949,2.2103026727285,2.11529213952668,1.91943432472665,1.82059392609772,1.78268537646023,1.77845629442729,1.72569832935362,1.73816892651175,1.66425931671977,1.44471981368459,1.32334034933138,1.50235112252665,1.59834287887065,1.68122943160543,1.62972495041379,1.70328824775497,2.00088081355392,1.91866050270504,1.87291013958057,1.98255752579297,2.14571515653773,2.15365108126844,2.21791754066562,2.51457805893924,2.64548045839757,2.62519060373455,2.4454147794803,2.46380276941578,2.59403049476003,2.6298517819691,2.95451204368945,2.67828390215442,2.48183766586474,2.22152810849266,2.33534848310323,2.50253788651054,2.43812430813305,2.5739107676697,2.41318876227918,2.48787358112628,2.54772369234988,2.52037346279959,2.66341023259023,2.60965534525713,2.73190735500303,2.93367001457204,2.91134367370372,2.91005637961671,3.08991839577021,2.62796808980634,2.8804245691332,2.94301393859098],"DDR3512M-FDS^FG_PRICE_CHANGE(0,-3AM)":-5.12728844839351,"PASP-FDS^FG_PRICE(0)":960.0,"CPALM-FDS^FG_PRICE_CHANGE(0,-1AY)":4.20669955855622,"SET-BKK^FG_PRICE_MAVG(0,,,,60)":1337.3707,"EZA^FG_PRICE_MAVG(0,,,,200)":40.04915,"EIDO^FG_PRICE(0)":20.19,"VNM^FG_TOTAL_RETURNC(0,-6AM)":-6.8058786,"TUR^FG_TOTAL_RETURNC(0,-3AM)":15.863026,"QAT^FG_TOTAL_RETURNC(0,-1AM)":2.1699905,"EWZ^P_PRICE(0)/P_PRICE_LOW_PR(0,,,,,,\"PRICE\",\"INTRA\",\"52W\")-1":0.04341352,"EWM^P_PRICE(0)/P_PRICE_HIGH_PR(0,,,,,,\"PRICE\",\"INTRA\",\"52W\")":0.99000645,"EPOL^FG_TOTAL_RETURNC(0,-6AM)":17.317509,"CNYA^FG_TOTAL_RETURNC(0,-1AM)":-1.3719559,"EWW^FMA_COS_DOWN(\"EPS\",\"1M\",+1,NOW,,,\"PORTAGG\",\"MEANR\")":11.0,"EIDO^FMA_COS_DOWN(\"EPS\",\"1M\",+1,NOW,,,\"PORTAGG\",\"MEANR\")":21.0,"EWY^FMA_RBICS_REV_CURRENT(30, LOC, \"PORTAGG\")":14.4107719744198,"KSA^FMA_DIV_YLD(NTMA,NOW,NOW,M,\"PORTAGG\",\"MEANR\")":3.62021533184084,"ECH^JULIAN(FMA_DIV_YLD(NTMA,NOW,NOW,M,\"PORTAGG\",\"MEANR\").DATES)":45471,"EWZ^FG_COMPANY_NAME":"iShares MSCI Brazil ETF","USDBRL^FG_PRICE_CHANGE(0,-3AM)":6.4513683,"USDMYR^STD(FG_PRICE_CHANGE(0,-1AY,AM))":1.43350880047046,"FC0000SA^FMA_EPS(NTMA,-20AY,0,CY,,\"PORTAGG\",\"MEANR\")":[null,null,null,3.96336847567451,3.26626042393583,2.53989246401814,2.77600916912685,3.29521282805116,3.61051444681354,3.7978958686548,3.75005115904989,3.29103190766382,2.82016085211551,3.21155371352054,3.27157784678448,2.35315851136102,1.93303149915198,3.07367882792392,3.62922601686806,3.01150373774813],"MCHI^FMA_PE(NTMA,-10AY,0,AM,\"PORTAGG\",\"MEANR\")":[8.97143768881131,9.34602437778771,8.98440066410664,8.41030517995337,8.63033703757529,9.11437378179646,9.81443455595724,10.2390815398708,10.1764558811122,12.2489087043863,11.9808087853556,11.0057708979595,10.0075103271884,9.29779168052632,9.04660660861544,9.66515020734676,9.51031015626424,9.2420017903218,9.06100805759934,9.03809425051015,10.0136933267344,10.432672564419,9.48980270689206,10.4893483015346,11.3463232221026,12.1740780658779,12.3809952503989,12.2882964184897,11.7359416747636,11.3074381863989,11.8837239771525,12.4012146505036,12.6646871436865,12.2941471960321,12.9420413822493,13.0385587734885,13.458961480135,13.4306020222759,13.7794313323433,13.6578797853143,14.0043025221278,13.3201362088706,14.1898648855373,13.4314898757804,13.5419878293051,12.4893934029267,12.6935125900652,12.2649334412078,11.8082780672296,11.1052413725712,11.0260499542593,10.0623799192083,10.5151670027105,10.1944385950255,10.8077454420081,11.221545153653,11.8920011971919,12.2412876224059,11.1873700818587,11.3742562284812,11.5081464415743,11.084998329989,11.4276581339054,11.159638852347,11.3656886113313,12.203160386668,12.6412886409712,12.5091025542683,10.4533455525794,12.359104970386,12.9380606484422,14.0317347309657,14.8051839113466,14.946416300558,14.9202910995564,15.3298881932538,15.0692643259639,15.5303267667209,17.3127865784971,18.6443192269555,16.5994853104668,16.082217478113,15.4162499238339,15.8762950339025,15.0557633311732,13.066390825171,13.4577907432427,13.8428436346897,13.2664827677639,12.3832555198605,12.4661743322295,12.0994436368243,10.6331450330604,10.3737806337365,10.4946617097783,11.5133059845879,11.3166363242945,10.6902772084323,10.3643036693568,9.17460319049225,10.0481267957598,10.6796138207749,11.7749658763077,11.1839524282433,10.4977173714202,10.9131546258268,10.3010379125193,10.8139061211283,10.3494677549284,10.0235774439307,10.1298069706711,9.49903292825183,9.70152019823699,9.19656470077718,8.51679296660157,9.04505113045568,9.23724125296786,9.14998142070024,10.8710031683656,9.79719541416343,9.49651424379317],"SET-BKK^FMA_PE(LTMA,-10AY,0,AM,\"PORTAGG\",\"MEANR\")":[17.8428623143955,18.8126996627098,19.2265416331293,18.7207549538076,19.8024362301093,19.3853973645751,19.8756052816358,22.5277258260293,23.1239174311613,22.529725885477,21.9922737839498,21.1616056740877,20.6972314561529,19.4559409007784,19.0031066676721,18.6594223990782,16.4168426226231,14.616977877518,14.1635915341076,16.6445349805867,16.6066987677227,16.5148775222952,16.2486099479686,16.3248407834453,16.6532594211598,16.647469548058,16.200372471915,16.0094480499965,15.8178427633143,16.1116146981392,16.3915801675621,16.3671300123503,16.3026720240508,16.2127185644661,16.029076963538,16.1152832151873,15.9397642045098,15.9262376107196,16.5668605858659,16.5586726624187,17.0977840156689,17.5283502915099,18.4951539057287,18.0385934843238,17.617769942297,17.3835682978912,17.258758765657,16.5658545655801,16.3552421662839,16.252960903188,16.4888782292006,15.7086820565004,15.1791577986627,14.6907390167044,14.7485165007504,15.570044301568,16.1597281180336,16.166773825101,15.9304085649686,16.3553729490819,16.5600945890566,16.2607073966151,16.4016973397734,16.7545571064904,17.2050802022249,16.8960179165903,17.1960961370428,16.4050709218838,14.3588282220268,15.20057926501,16.766187615068,18.1896655738824,18.8635082381629,20.1299485151274,21.2380988108761,21.0473791000188,22.9339448717645,25.6000251033519,28.2876395401344,27.7767568981973,27.3165121095735,26.5339009804292,25.1633537164615,24.3547527400301,23.0435965373238,22.0592583159213,21.8549118874421,20.8119294293941,20.0762325559736,19.1310836592263,18.9737782494062,19.2536316308803,18.7885624633036,18.5375566908184,18.1329985921133,17.5930026764097,17.1848949791738,17.2151203608514,16.8351832602759,16.2986149145709,16.6285934220355,16.4606045908638,17.1970908580814,17.4590229725839,17.2853522884481,17.2552136942661,17.078283602478,17.3049366540961,17.3511384566846,17.3794927904213,17.3623546555045,16.7183247482323,16.5058923095807,16.1421172352524,15.5578250883715,16.3682090245419,16.5836677802105,16.2489735069375,16.2956668855746,15.718561809609,15.6104198196359],"CPALM-FDS^FG_PRICE_CHANGE(0,-6AM)":1.28722867238769,"BRENT-FDS^FG_PRICE_MAVG(0,,,,30)":85.86,"EWM^FG_PRICE_MAVG(0,,,,200)":21.7756,"ECH^FG_PRICE_MAVG(0,,,,200)":26.43705,"QAT^PERCENT_CHANGE(FMA_EPS(+1,0,,,,\"PORTAGG\",\"MEAN\"),FMA_EPS(+1,-3AM,,,,\"PORTAGG\",\"MEAN\"))":-5.47460026331276,"INDA^PERCENT_CHANGE(FMA_EPS(+1,0,,,,\"PORTAGG\",\"MEAN\"),FMA_EPS(+1,-1AM,,,,\"PORTAGG\",\"MEAN\"))":-1.00962037852277,"EWW^P_PRICE(0)/P_PRICE_HIGH_PR(0,,,,,,\"PRICE\",\"INTRA\",\"52W\")":0.82381886,"EIDO^FG_TOTAL_RETURNC(0,-3AM)":0.5769372,"CNYA^PERCENT_CHANGE(FMA_EPS(+1,0,,,,\"PORTAGG\",\"MEAN\"),FMA_EPS(+1,-3AM,,,,\"PORTAGG\",\"MEAN\"))":-2.65681980577722,"VWO^FG_TOTAL_RETURNC(0,-3AM)":7.851124,"VGK^PERCENT_CHANGE(FMA_EPS(+1,0,,,,\"PORTAGG\",\"MEAN\"),FMA_EPS(+1,-1AM,,,,\"PORTAGG\",\"MEAN\"))":0.0,"KSA^FMA_COS_DOWN(\"EPS\",\"1M\",+1,NOW,,,\"PORTAGG\",\"MEANR\")":34.0,"MCHI^FMA_COS_DOWN(\"EPS\",\"1M\",+1,NOW,,,\"PORTAGG\",\"MEANR\")":221.0,"EIDO^FMA_COS_UP(\"EPS\",\"1M\",+1,NOW,,,\"PORTAGG\",\"MEANR\")":21.0,"EWW^FMA_RBICS_REV_CURRENT(30, LOC, \"PORTAGG\")":27.3718727943523,"GREK^FG_ROE(0)":14.5547827934118,"REFSAREPO-FDS^(SUBARRAY(NOT_NA(NO_REPEAT_F(FG_YIELD(NOW,-10AY,D))),0,1)-SUBARRAY(NOT_NA(NO_REPEAT_F(FG_YIELD(NOW,-10AY,D))),1,1))*100":25.0,"REFQALEND-FDS^PROPER_NAME(0,,,\"SECURITY\",\"NAME\")":"Qatar Lending Rate - Overnight","REFKRBASE-FDS^FG_YIELD(NOW,,,0)":3.5,"REFPHRREPO-FDS^(SUBARRAY(NOT_NA(NO_REPEAT_F(FG_YIELD(NOW,-10AY,D))),0,1)-SUBARRAY(NOT_NA(NO_REPEAT_F(FG_YIELD(NOW,-10AY,D))),1,1))*100":25.0,"TRYAE10Y-FDS^PCTCHG(FG_YIELD(0,,,,\"YTM\"),FG_YIELD(-1AM,,,,\"YTM\"))":null,"TRYKR10Y-FDS^PCTCHG(FG_YIELD(0,,,,\"YTM\"),FG_YIELD(-3AM,,,,\"YTM\"))":-12.201986,"TIPSCL10Y-FDS^PCTCHG(FG_YIELD(0,,,,\"YTM\"),FG_YIELD(-1AM,,,,\"YTM\"))":4.9216213,"CC_TH^IMF_IFS_RCPI_Q(0)":null,"VWO^FMA_EVAL_EBIT(LTMA,NOW,NOW,M,\"PORTAGG\",\"MEANR\")":14.2543251547878,"TUR^FMA_EVAL_EBIT(LTMA,NOW,NOW,M,\"PORTAGG\",\"MEANR\")":8.15599370062517,"QAT^FMA_DIV_YLD(NTMA,NOW,NOW,M,\"PORTAGG\",\"MEANR\")":5.56133839115734,"INDA^JULIAN(FMA_DIV_YLD(NTMA,NOW,NOW,M,\"PORTAGG\",\"MEANR\").DATES)":45471,"EWZ^FG_FCF_YIELD_NTM(0)":10.6904728586364,"EWW^FMA_PE(LTM,0,,,\"PORTAGG\",\"MEANR\")":14.2388717274109,"EPU^FMA_EVAL_EBITDA(NTMA,0,,,\"PORTAGG\",\"MEANR\")":6.32890769438802,"EPHE^FMA_PE(NTMA,0,,,\"PORTAGG\",\"MEANR\")":9.47144542633203,"GREK^FG_COMPANY_NAME":"Global X MSCI Greece ETF","TUR^FG_TOTAL_RETURNC(0,-1AM)":4.667306,"EPOL^FG_TOTAL_RETURNC(0,-3AM)":6.597376,"EIDO^FG_TOTAL_RETURNC(0,-1AM)":9.847665,"MCHI^FMA_COS_UP(\"EPS\",\"1M\",+1,NOW,,,\"PORTAGG\",\"MEANR\")":198.0,"EWW^FMA_COS_UP(\"EPS\",\"1M\",+1,NOW,,,\"PORTAGG\",\"MEANR\")":18.0,"ECH^SIZE(FG_CONSTITUENTS)":30,"VWO^FMA_EVAL_EBITDA(NTMA,0,,,\"PORTAGG\",\"MEANR\")":8.88619417459578,"CNYA^FMA_EVAL_EBIT(LTMA,NOW,NOW,M,\"PORTAGG\",\"MEANR\")":16.1397598113944,"TUR^FMA_EVAL_EBITDA(NTMA,0,,,\"PORTAGG\",\"MEANR\")":5.26599340682538,"GREK^FMA_EVAL_EBIT(LTMA,NOW,NOW,M,\"PORTAGG\",\"MEANR\")":7.79566299774807,"EPHE^FMA_PE(LTM,0,,,\"PORTAGG\",\"MEANR\")":10.581940230409,"TRYMX10Y-FDS^PCTCHG(FG_YIELD(0,,,,\"YTM\"),FG_YIELD(-3AM,,,,\"YTM\"))":1.1817715,"EPU^FMA_DIV_YLD(NTMA,NOW,NOW,M,\"PORTAGG\",\"MEANR\")":4.04701652784087,"KSA^FMA_RBICS_REV_CURRENT(30, LOC, \"PORTAGG\")":42.6865051566542,"REFCLMPR-FDS^(SUBARRAY(NOT_NA(NO_REPEAT_F(FG_YIELD(NOW,-10AY,D))),0,1)-SUBARRAY(NOT_NA(NO_REPEAT_F(FG_YIELD(NOW,-10AY,D))),1,1))*100":-25.0,"CC_KR^IMF_IFS_RCPI_Q(0)":2.6691833,"CC_QA^FG_COMPANY_NAME":"Qatar","USDBRL^FG_PRICE_CHANGE(0,-1AY)":15.771902,"SET-BKK^P_PRICE_RETURNS_PR('52W',2,-10AY,0,AM)":[3.1078815,10.323345,6.436944,4.0582895,11.689711,12.454796,18.52386,21.117329,12.30402,11.220348,8.175778,2.0213246,-3.6694288,-10.612178,-12.240017,-7.3133526,-12.207544,-15.286886,-17.543655,-17.486065,-9.698993,-9.627592,-9.181107,-6.1704993,0.35378933,11.575497,7.36593,4.895866,7.04813,18.482077,22.817348,22.458422,13.098108,10.677254,11.817932,11.244488,5.619967,1.2617946,12.049067,13.2646675,15.980601,13.788104,17.137014,14.692879,15.298724,14.532375,13.473881,3.6935449,4.5080423,7.7179074,4.616201,-0.9219289,-4.2647066,-7.5731277,-12.947142,-9.423614,-9.428883,-6.732255,-8.170968,4.052353,5.356157,-3.1230032,-6.2372866,-3.0589879,-1.7861485,-1.724416,1.2769699,-7.958007,-35.942806,-25.93593,-18.54102,-19.646185,-20.90177,-20.069504,-22.111189,-25.90856,-14.797324,-5.2029076,-4.866666,-0.33410192,49.77734,27.086771,19.259512,17.48023,14.447844,18.003773,26.56883,34.88232,20.128227,10.636902,8.909166,13.37961,6.991887,6.3946486,2.799821,-3.6015213,-1.4511466,5.28661,0.36416054,-2.5558352,-2.0375311,-1.4332473,1.823616,-3.5002708,-7.0218086,-5.6629777,-5.6719246,-0.15839338,0.20933151,-7.148224,-6.656778,-10.428518,-12.332887,-13.79928,-18.121029,-16.004414,-11.58877,-15.730077,-9.197891,-16.256464,-14.284414],"QAT^FG_TOTAL_RETURNC(-10AY,0,AM)":[8.770454,1.4660478,2.8897405,-8.203989,6.159425,-12.097084,0.1294136,4.69625,-6.7977486,3.148985,3.8541079,-4.659706,0.6278038,-4.523176,-1.7269492,4.0133,-8.447493,-10.623437,-9.066099,13.294447,7.100272,0.10122061,-5.5106163,-0.42803884,8.020735,8.021665,-10.8166275,3.90898,-5.831492,5.016041,4.682648,-0.14237165,-4.2871294,4.279685,-4.7533455,-8.180386,5.700803,-5.564934,-7.0238056,-3.8412273,-10.324902,18.127525,9.365177,-5.057466,0.9079933,3.2993317,-3.3101022,2.0793676,4.2742968,1.6219378,2.7858377,2.315092,4.3046236,1.0118008,4.2171955,-9.914017,1.1791229,5.156493,-7.067311,4.533577,-0.39392114,-6.2242928,7.23989,0.8511305,-1.7157376,0.03684759,4.362607,-8.116179,-8.951253,1.2978554,1.8206358,5.4034233,4.2441607,2.9492497,2.7507186,-0.5315125,0.6464958,3.0083537,2.8123379,-3.6822736,0.7646203,5.4742455,0.43679476,-2.0937502,0.16721487,5.1338673,0.13899803,5.2684903,1.7805576,-4.0257635,8.51779,3.1232834,5.430913,2.7633905,-6.968218,-4.170072,-1.499027,13.106096,-7.2580633,-1.7391324,-2.8518796,-9.194958,-0.47821403,-2.4559498,-4.214561,2.342856,7.7051997,-2.4306297,-0.3865242,1.1640787,-3.7534237,-5.152297,5.8223248,-1.0209799,0.74498653,-0.10238886,3.6897779,-4.33827,0.51665306,-0.8016825,2.1699905],"INDA^FMA_DIV_YLD(NTMA,-10AY,0,AM,\"PORTAGG\",\"MEANR\")":[1.58928133863583,1.57613573444693,1.54522893530312,1.65213422279381,1.54578765738618,1.59407988581039,1.53956822496622,1.45662846341571,1.50332930879068,1.53819667528978,1.64075425368827,1.67915125372527,1.53796708356432,1.54883309179092,1.66513352036237,1.63684222846699,1.74364408075239,1.73234693400013,1.79582125919349,1.82595763510149,1.74929402463923,1.69250380489334,1.71594646067052,1.61554341079756,1.55373562610089,1.54184825807342,1.52124282116143,1.54755688422659,1.71667816522577,1.69514174726334,1.65201689915579,1.59829124108808,1.54784383746729,1.58280751747742,1.595548939264,1.60963047928661,1.55579191731949,1.55494876900827,1.51715965679261,1.533788418676,1.53121236865849,1.51972801288455,1.46341560027189,1.56758747456767,1.61919442572572,1.60187147674079,1.64867039985946,1.60916454564644,1.59641115407227,1.50643174536114,1.53681299417923,1.70901378657708,1.63588140830592,1.61874828595379,1.65105203526482,1.69286384058004,1.57567226777425,1.60426510531532,1.72043821020273,1.70433542750943,1.76946809034921,1.80678774743948,1.85654225054348,1.79079252512641,1.75067014241102,1.65259417969036,1.63652150269318,1.65633159137313,2.43416530995932,2.0503633134066,1.97920798673439,1.67228669841076,1.5682398119017,1.50824825080914,1.51932955365592,1.51080226437703,1.47378842263428,1.3506445422602,1.31870314785139,1.34007750509008,1.37391539064636,1.40181226037636,1.40233102413627,1.40276131057768,1.39949335830461,1.34074776584788,1.27395565479463,1.27497180110032,1.35193988098933,1.39313317420965,1.33920175911161,1.45556391127064,1.46079165444892,1.50116247504399,1.70833922560699,1.73342358035895,1.59971939837263,1.47155314331442,1.50498347476382,1.51852855362669,1.48866358971529,1.46163648750395,1.49884976329753,1.53941347775869,1.63288275679896,1.61398646239816,1.6221834462837,1.52823011957964,1.45100817526533,1.5142139898415,1.48776397030432,1.49898927977057,1.50080768443038,1.38519475710299,1.37070814236383,1.34840420340477,1.38639573944587,1.36447238471676,1.34733611205679,1.28035851975917,1.23885704917858],"INDA^FMA_PE(NTMA,-10AY,0,AM,\"PORTAGG\",\"MEANR\")":[16.4631343661138,16.662132917485,16.8454787955336,16.0204870182654,17.2394342771549,16.7269185599664,17.3709722653611,18.5887645708581,18.0748627156604,17.9890809828313,17.4967068878684,17.3337436820557,18.7260932784283,18.9093700827046,17.6740777824187,17.9980696900423,17.1218710277655,17.0727251778956,16.2579051438815,16.5615402617308,17.1126043892995,17.5427465066436,17.1567314704201,17.521122375317,18.0637439429005,18.1275086142388,17.9738693874459,17.6491238532003,16.0804730817845,16.1530800158378,16.7402997443165,17.6601497883186,17.9922840093869,17.8648831256988,18.1273423151261,18.1635068575153,18.7787867122689,18.6130695862644,19.0451207993412,18.6858733075309,18.708040797051,18.9193412805813,19.3467426187323,18.3976652615247,17.7117381872854,18.4108242730023,17.9041888385877,18.5310210791045,18.5717722066649,19.6882777528549,19.1516675301791,17.071879527172,18.1514010809577,18.3094551368199,17.9892849709342,17.7059771025802,19.0477772406411,18.9454741358223,18.4023638156031,18.7103283191821,18.3239291322363,18.1509002066746,17.5626680039044,18.6166598363439,19.2531944398291,19.3148954703263,19.434313093443,19.2816860052612,13.2830046309489,16.6840945738101,17.9993866239987,21.9072707885368,23.3362946805622,23.7235154119052,23.2556064712174,22.9112456730866,22.6504900016959,24.2058999964275,24.3190906248541,23.4604293709443,22.997981854231,22.0797876622425,22.6609647929486,23.2580794007428,22.9580167590722,23.7938539974691,24.766451911711,24.9296855097841,23.6581313389251,22.7570536204758,23.4792242249836,22.0660890609313,21.9012401607248,21.5910197736249,19.8945870984227,19.3492131284744,20.7233597092973,22.7554242985151,22.2968562792588,21.7129874846263,22.3901106610147,22.51533163839,21.7760276899156,20.984624582141,19.8137818377296,20.1332136937694,20.8015798727377,21.6704030593459,21.8790658488068,20.6705635317035,21.0875852934798,20.4541443244395,20.3842889459073,21.8540937004826,22.1055415872555,22.6110029603837,21.7834892882444,22.1663505060344,22.5916404572232,23.5212601662872,24.1909581601823],"MCHI^FMA_PE(LTMA,-10AY,0,AM,\"PORTAGG\",\"MEANR\")":[9.46022818763465,9.777104162109,9.59221300400955,9.17625037973829,9.36169143678718,9.81613032921189,10.4351891737562,10.7526674729742,10.8137591142621,11.4303913288356,11.5351321829479,11.2501196025121,10.7748449992067,10.3051820738288,9.97536323040676,10.4006852934969,10.155584601967,9.80346947132303,9.62176009559222,9.51230528485257,9.48988967935135,9.73987216819092,9.53274783139244,10.1475767773986,10.8668706382101,11.7892619991218,12.4489596949069,12.8735449446795,12.8659446542223,12.8516073953979,13.6425701295479,14.2183509246564,14.0740118522163,13.8754637313983,14.0549673027467,14.1138142947102,14.4141633169963,14.5279429603773,14.9336152142808,15.0603117523029,15.5431934900854,15.2056324526889,16.3783065844923,15.5831009622648,15.3317912185393,14.906901024107,14.8331945830796,14.4986066618109,14.1152568841297,13.4716900753172,13.1943223708916,12.1505442755392,12.2567147534618,11.6140208617367,12.1060163622242,12.6563610618658,12.8774718068497,12.9481365114158,12.5506542525448,12.5956374497576,12.67069057234,12.3775098581688,12.5982264528848,12.41739762313,12.5827360036618,13.5653874257577,14.1395606266508,13.9124710076395,12.6942949136401,13.1355574041188,13.4199827000419,14.126085786944,14.8515853380287,15.3287510681711,15.8381462711168,16.6644435470447,16.9661988341968,18.0774263000968,20.5509629871371,21.8725042729214,19.5857844008787,19.2194336543345,18.736423181002,18.7436467536924,18.0676608081896,16.442998401456,16.3877372494358,16.4069824514256,15.480091700179,14.2421177405929,14.1290601896062,13.8394302545316,12.8295098272785,12.5792975808411,12.4775726067773,12.8586503330183,12.7492849366016,12.315284182945,12.0251472813104,10.8774132418288,11.6064122859015,12.2100688953402,13.659967940047,12.9532304269536,12.2679197674857,12.2707580906531,11.9658130504557,12.1222210358317,11.8208061122784,11.543520925331,11.6342730250854,11.0702210514532,11.2293349026467,10.640451484335,9.87643346293607,10.3981291487266,10.4451978660748,10.3355153748369,10.9430219265445,10.5243034822973,10.3691215784708],"DDR3512M-FDS^FG_PRICE_CHANGE(0,-1AM)":-2.85605315547826,"NI-FDS^MAX(FG_PRICE(0,-5AY))":48241.0,"BRENT-FDS^FG_PRICE(0)":85.86,"FTSEWIVNXXXX^FG_PRICE(0)":363.59203665,"SET-BKK^FG_PRICE_MAVG(0,,,,30)":1312.362,"EZA^FG_PRICE_MAVG(0,,,,60)":42.410168,"ECH^FG_PRICE_MAVG(0,,,,30)":26.583,"VNM^FG_TOTAL_RETURNC(0,-3AM)":1.6877651,"INDA^FMA_PCT_ABOVE_MAVG(200,0,,,,\"PORTAGG\")":91.8367346938776,"EWZ^P_PRICE(0)/P_PRICE_HIGH_PR(0,,,,,,\"PRICE\",\"INTRA\",\"52W\")":0.7834359,"EWM^FG_TOTAL_RETURNC(0,-6AM)":12.579166,"KSA^FMA_PE(NTMA,0,,,\"PORTAGG\",\"MEANR\")":17.2921826025323,"TRYPE10Y-FDS^FG_YIELD(0,,,,\"YTM\")":6.947008,"EZA^FG_COMPANY_NAME":"iShares MSCI South Africa ETF","REFMXTON-FDS^(SUBARRAY(NOT_NA(NO_REPEAT_F(FG_YIELD(NOW,-10AY,D))),0,1)-SUBARRAY(NOT_NA(NO_REPEAT_F(FG_YIELD(NOW,-10AY,D))),1,1))*100":-25.0,"TRYCN10Y-FDS^PCTCHG(FG_YIELD(0,,,,\"YTM\"),FG_YIELD(-1AM,,,,\"YTM\"))":0.1544906,"KSA^JULIAN(FMA_DIV_YLD(NTMA,NOW,NOW,M,\"PORTAGG\",\"MEANR\").DATES)":45471,"QAT^FMA_PE(LTM,0,,,\"PORTAGG\",\"MEANR\")":11.3534467197202,"EWT^FMA_EVAL_EBIT(LTMA,NOW,NOW,M,\"PORTAGG\",\"MEANR\")":20.2847621478122,"CNYA^FMA_PE(LTM,0,,,\"PORTAGG\",\"MEANR\")":14.1779602477483,"USDTRY^STD(FG_PRICE_CHANGE(0,-3AY,M))":7.58143701650948,"USDINR^STD(FG_PRICE_CHANGE(0,-3AY,M))":0.951727911649945,"USDMYR^FG_PRICE_CHANGE(0,-6AM)":-0.6359339,"USDIDR^STD(FG_PRICE_CHANGE(0,-3AY,M))":1.53270078957672,"VNM^FMA_EPS(NTMA,-20AY,0,CY,,\"PORTAGG\",\"MEANR\")":[null,null,null,null,null,1.76556929798562,1.77344510490664,1.79926295005356,2.1935186011017,2.03454772468732,1.57039558296485,1.29980601244052,1.03619480330304,0.937220389578586,1.03904047410582,1.11601822049313,1.03737378869621,1.2888433367428,1.11127493241856,0.886057292428813],"GREK^FMA_PE(LTMA,-10AY,0,AM,\"PORTAGG\",\"MEANR\")":[23.7572297992183,21.320443578295,19.6748753282309,17.2483823387288,17.3625279440245,17.7058619010352,12.640628831804,15.357377937407,17.2725255231199,16.2725125263857,15.0792515869259,14.0539418811798,13.0432561795631,12.0883354265242,11.4949751616457,10.5482368676583,11.7097820844937,-3.04419806302451,-1.23917715029879,-0.285524686126579,0.374744619336467,2.05383394344733,3.53888006430104,4.02846820667862,5.46289754936928,6.40726431176666,8.50010312332023,10.91640797116,13.221595281469,13.9676559018512,14.2574208375675,13.7103696081201,14.1720550964735,14.206308263818,15.2254232546863,15.1949238144512,15.5628117215797,15.1756915167422,14.4274635533693,16.1041441088351,16.0170298764663,20.2264472060229,22.4100716447663,24.061362925449,23.2737242271387,22.9128610030962,21.713815153881,21.7711518924383,21.2737796099093,20.8329168517876,21.8385820576485,18.9752989448462,18.0726444867173,15.5077218911863,15.2796263922145,18.7512946256556,18.5391588406653,18.4386086373376,17.7153177617696,17.785829931789,18.3150773079066,18.5075796230192,20.0667775273577,15.8439278438645,15.4805093252631,17.0625376895817,18.8132669674532,15.6902738466263,11.7021148091001,11.9187737642511,12.3101456745132,14.761185520551,15.1494132170946,15.1814334134424,16.1274079668633,14.1900548072751,15.8575215123034,18.7695823650643,17.8522632189684,17.7312789069838,17.5351087047963,17.2787386659531,15.6531679763079,17.0350128892689,15.7176946386208,15.5974434895512,14.0882788764975,14.2155078918005,17.1588518902407,12.6848068054663,-65.5598751951872,-185.935017983562,-90.3025372305091,-78.8836042000539,-68.841257236134,-59.0395055375685,-48.468724002791,-37.381473579408,-28.2501246481403,-17.9095223712685,-8.42278742596644,2.10353521544973,6.23072206834977,7.86355280337806,7.62674195467989,7.6754237145818,7.49710823731284,8.0272349814125,8.13049445722411,7.49001405035684,7.03111399458385,6.74291759201838,6.74274797147695,6.38555671261859,6.40188531094718,6.6994419397394,6.76263858628161,6.75862160246726,6.88973702510473,6.78795640441713,6.7689718534394],"CPALM-FDS^FG_PRICE_CHANGE(0,-3AM)":-1.06015779092702,"COPP-FDS^MAX(FG_PRICE(0,-5AY))":5.119,"EWM^FG_PRICE_MAVG(0,,,,60)":22.8555,"QAT^PERCENT_CHANGE(FMA_EPS(+1,0,,,,\"PORTAGG\",\"MEAN\"),FMA_EPS(+1,-1AM,,,,\"PORTAGG\",\"MEAN\"))":-2.70163819874743,"GREK^FG_TOTAL_RETURNC(0,-12AM)":9.543085,"EWW^FG_TOTAL_RETURNC(0,-6AM)":-9.271944,"EIDO^PERCENT_CHANGE(FMA_EPS(+1,0,,,,\"PORTAGG\",\"MEAN\"),FMA_EPS(+1,-3AM,,,,\"PORTAGG\",\"MEAN\"))":-7.83702811017327,"CNYA^PERCENT_CHANGE(FMA_EPS(+1,0,,,,\"PORTAGG\",\"MEAN\"),FMA_EPS(+1,-1AM,,,,\"PORTAGG\",\"MEAN\"))":0.440728249529781,"VGK^P_PRICE(0)/P_PRICE_LOW_PR(0,,,,,,\"PRICE\",\"INTRA\",\"52W\")-1":0.22902286,"VGK^FMA_PCT_ABOVE_MAVG(200,0,,,,\"PORTAGG\")":73.2114467408585,"KSA^FMA_COS_UP(\"EPS\",\"1M\",+1,NOW,,,\"PORTAGG\",\"MEANR\")":19.0,"EWT^FMA_RBICS_REV_CURRENT(30, LOC, \"PORTAGG\")":17.1261918631904,"EZA^FG_ROE(0)":14.1414106715456,"REFSAREPO-FDS^FG_YIELD(NOW,,,0)":6.0,"REFCNRMB-FDS^(SUBARRAY(NOT_NA(NO_REPEAT_F(FG_YIELD(NOW,-10AY,D))),0,1)-SUBARRAY(NOT_NA(NO_REPEAT_F(FG_YIELD(NOW,-10AY,D))),1,1))*100":-10.0,"REFKRBASE-FDS^PROPER_NAME(0,,,\"SECURITY\",\"NAME\")":"South Korea Base Rate","REFPHRREPO-FDS^FG_YIELD(NOW,,,0)":6.5,"TRYTR7Y-FDS^PCTCHG(FG_YIELD(0,,,,\"YTM\"),FG_YIELD(-3AM,,,,\"YTM\"))":-0.1974993,"TRYKR10Y-FDS^PCTCHG(FG_YIELD(0,,,,\"YTM\"),FG_YIELD(-1AM,,,,\"YTM\"))":-3.8082514,"TRYCN10Y-FDS^PCTCHG(FG_YIELD(0,,,,\"YTM\"),FG_YIELD(-3AM,,,,\"YTM\"))":0.1368179,"CC_QA^IMF_IFS_RCPI_Q(0)":null,"KSA^FMA_PE(LTM,0,,,\"PORTAGG\",\"MEANR\")":21.405752246258,"QAT^FMA_PE(NTMA,0,,,\"PORTAGG\",\"MEANR\")":10.4058083564645,"EWZ^FMA_DIV_YLD(NTMA,NOW,NOW,M,\"PORTAGG\",\"MEANR\")":7.02769027128509,"EWW^JULIAN(FMA_DIV_YLD(NTMA,NOW,NOW,M,\"PORTAGG\",\"MEANR\").DATES)":45471,"EPU^FG_FCF_YIELD_NTM(0)":8.57181841729382,"TRYID10Y-FDS^FG_YIELD(0,,,,\"YTM\")":6.944017,"VNM^FMA_DIV_YLD(NTMA,NOW,NOW,M,\"PORTAGG\",\"MEANR\")":1.91037025060779,"USDBRL^FG_COMPANY_NAME":"Brazilian Real per U.S. Dollar","QAT^P_PRICE_RETURNS_PR('52W',2,-10AY,0,AM)":[null,null,null,null,null,null,null,null,null,null,-2.5634408,-2.9325306,-9.465581,-15.499753,-19.081974,-8.549643,-21.132677,-18.58114,-27.174812,-21.194035,-10.677796,-12.118459,-20.042902,-16.978,-10.358995,1.4190674,-7.9616013,-8.053899,-4.184169,11.122168,27.923286,12.996459,0.25583506,4.9693108,5.8105826,-2.4274945,-4.523033,-16.151398,-12.982046,-19.472408,-22.451735,-13.740605,-9.882158,-13.5638,-9.667182,-10.516411,-8.343416,0.9897351,-0.37319064,7.464659,18.52007,26.108002,46.68118,25.428236,21.266472,13.410187,13.714897,16.776525,11.0942955,13.936054,8.835304,0.43213367,4.7841907,4.147053,-2.6766062,-3.6159635,-3.9188683,-1.555264,-11.411863,-13.893682,-6.500989,-5.722952,-2.9235303,8.31902,3.9891362,2.3617983,4.8220396,7.691622,6.332338,11.463463,23.357796,28.443695,26.698029,17.758633,13.083542,15.483212,12.7144575,19.110525,20.452642,12.227285,18.45522,26.23893,32.5544,29.28754,19.755411,16.46105,15.265894,24.006426,14.846336,7.201123,2.2253036,-3.1891227,-11.214638,-15.626269,-24.24034,-24.013567,-12.028623,-10.444522,-9.42021,-19.564236,-15.922308,-18.842804,-11.859667,-3.6385953,-2.4542391,-1.0752678,8.143187,1.0833979,-6.6791177,-4.088217,-1.6267061],"MCHI^FG_TOTAL_RETURNC(-10AY,0,AM)":[3.4021258,7.12049,-3.801173,-4.2147875,1.4385462,2.9490352,4.1709304,2.315998,1.2660623,15.968931,0.8657336,-7.2712603,-6.9022236,-10.197115,-5.550867,8.357549,-2.45412,-4.1226206,-13.560486,-0.31039715,9.366894,4.9584866,-10.669083,3.1882524,7.5701833,8.771526,1.4777303,0.7073045,-6.362319,-3.176707,6.261933,6.1052203,2.6321173,-1.3916492,7.3387146,3.1930804,6.7463994,2.1047235,7.8934073,1.0096312,3.9058924,-2.3742974,12.714982,-2.9427826,0.46322346,-5.337429,2.0811915,-1.3947606,-7.410133,-5.186951,-0.30206442,-9.863663,3.174603,-4.0653048,8.877886,4.181981,5.5928707,3.2129765,-11.111111,1.8399835,1.6446829,-4.921627,3.758192,-1.366818,3.7762046,6.5463424,6.624508,-3.1731904,-19.234306,14.087975,3.8391232,4.5496225,9.3269825,2.9234052,1.0378242,4.5276403,3.8014054,0.84409714,10.430681,7.8110933,-11.238891,-3.2273233,-2.6898801,0.6807804,-4.1708174,-13.537741,3.5462022,5.282247,-5.334258,-8.924418,1.7716169,-2.563697,-10.573328,-6.5383253,-3.6727548,7.0987105,-0.28419495,-7.9042377,-4.477,-15.11879,12.111961,8.184206,13.966358,-6.146079,-6.3694296,4.4855475,-5.8799686,3.964901,-4.282117,-4.999995,1.2465358,-4.9931645,3.8396955,-4.4372616,-8.156133,4.724622,3.2482505,-1.5980005,20.375538,-7.8382015,-3.468871],"GREK^FMA_DIV_YLD(NTMA,-10AY,0,AM,\"PORTAGG\",\"MEANR\")":[2.08721824855684,2.11844091203538,2.17351898688422,2.61802277647803,2.5844938265718,2.95261301203332,3.60899969862101,3.27155093039401,3.71866996429473,3.66154340668784,3.1341246473369,3.91985740971216,3.30617860635291,4.03639305374525,3.11404360513014,2.90956273583915,3.11997940789512,2.90757794228433,2.91937725146891,2.87909763977212,3.44566767175808,3.04556591566705,2.34750808849883,2.72675923679299,2.90017174614307,2.97875848158673,3.41878548261185,2.96929795168941,2.85477613468777,2.9299179806342,2.91792512840754,3.07410737168593,2.97531318444258,2.63432917440549,2.56869480909211,2.53442063236271,2.42510963866435,2.60920331957911,2.79147458122298,2.85506079325219,3.19578527443219,2.6556832294105,2.58721613092972,2.79456183343588,3.16779493095806,2.92345752514797,3.29463712883514,3.38529542860281,3.42034406525377,3.73774602904968,3.78139403576656,4.25105028667998,4.35006519531092,4.4011280151636,4.33863614094183,4.06248227125833,3.83196881590852,3.50498654083963,3.95551916881588,3.30849199765628,3.21586200133027,3.40301270680381,3.34807370388881,3.21346317057911,3.22207284898602,2.93905515025103,2.88206360311812,2.84697112320805,5.5077272592427,4.62749065745146,4.16477104917892,3.62432714421379,3.72317270173529,3.54175997761189,3.46831000489887,3.87645733917267,3.50116491151658,3.1714598156205,3.21767919889116,3.34291417696765,3.28320932508842,3.40818121034041,3.20130657514178,3.01799367182912,3.13223654768275,3.09813520862498,2.97510693293806,3.03800254085914,2.79538391931672,3.19194342304003,3.09104401562342,2.96596833751685,3.09770474731636,3.15600846493535,3.67206683718672,4.18882760044691,4.36106096522822,3.89824408061646,4.49021775841645,4.46583150153759,4.59513894190198,4.40977655215553,4.5546566076492,3.94314303253781,4.4589483245808,4.1828015122401,4.30710658915527,3.91371446024699,3.97734181270312,4.49086712994062,4.66594738064653,5.08068138653244,4.520165742198,4.50329387238556,4.60948357931636,4.52509557887347,4.93595860624914,5.34355973476033,5.25758509212147,6.13543070048195,5.85315202741595],"GREK^FMA_PE(NTMA,-10AY,0,AM,\"PORTAGG\",\"MEANR\")":[8.85823494863908,7.95331976629691,7.74785913551551,6.46906365403625,6.64783323690265,5.43251621348311,4.28468839001286,4.92651177792467,4.50672902630177,5.09178344057539,5.14765803773562,5.33991541206968,4.75837588541639,4.7367179951494,4.3086743456226,3.92982735764778,4.0441630889692,4.74261252576005,9.25591773419945,8.1404516282283,8.38897028054853,10.0597079631017,10.6423363753141,9.1381943424035,9.1183456069669,8.51442857278839,8.52107250327097,9.0013080115937,9.22224696152579,8.78948650657559,9.17327249181656,8.84213729465833,9.22090312991177,10.6783780367947,13.535030543627,12.9643040076712,13.1904743750861,12.2791362695009,10.9443843472347,11.995973117373,11.4043047409129,14.0416616683422,14.4405793690018,14.3804543639045,13.6457127870536,14.9635636944772,13.6726870060997,14.956583699594,14.6925233620272,14.2531734448244,14.5719762620603,12.2848003032974,12.0428762326068,11.7480809117581,11.0947906387435,11.9705116448278,12.9305698376342,13.9251043759764,12.6883136870056,13.6359137283979,14.0248858346194,13.4604642079239,13.9193818241411,11.9214824866763,11.7863281415876,11.3246120892527,11.2966647254422,11.0277847141624,5.98103095951348,8.3490981196603,10.2682531188713,13.9868379147344,13.2454751922578,12.3100355585279,12.4163762693107,10.0602695478478,10.7514998108101,12.3676551289527,11.3877488985266,11.9567457052128,11.9279076999924,12.344129682647,8.37658770748285,12.5071131953639,10.7689196832785,10.7736172885415,10.5023214659166,10.4639807409723,11.6198953328957,9.57982372604319,10.0557684381071,10.2015572105173,9.72878723858339,10.3458958238945,8.98635347625272,8.36700027685912,7.58849825905725,8.35750725051098,6.82621334360386,6.94392110568055,6.7889567814407,6.68841103502245,6.32768754946415,7.89270250730834,6.93853178761903,7.31821300190903,6.9733312109451004,8.07370375749934,8.24978571885244,7.29021072822549,6.70812413030312,6.54814164995774,6.79902943413019,6.70297873308991,6.76516701293868,7.01291600516301,7.00474702313976,6.93498597756525,7.30642965055231,6.94885919962029,7.1803885922018],"DDR3512M-FDS^FG_PRICE_MAVG(0,,,,30)":0.9396248,"NI-FDS^FG_PRICE(0)/MAX(FG_PRICE(0,-1AY))":0.72042048758667,"COPP-FDS^FG_PRICE_CHANGE(0,-1AY)":11.0409264376892,"KSA^FG_PRICE_MAVG(0,,,,200)":41.66525,"EZA^FG_PRICE_MAVG(0,,,,30)":42.978,"ECH^FG_PRICE(0)":26.24,"VNM^FG_TOTAL_RETURNC(0,-1AM)":-5.1927624,"TUR^PERCENT_CHANGE(FMA_EPS(+1,0,,,,\"PORTAGG\",\"MEAN\"),FMA_EPS(+1,-3AM,,,,\"PORTAGG\",\"MEAN\"))":-8.5110815664133,"GREK^P_PRICE(0)/P_PRICE_HIGH_PR(0,,,,,,\"PRICE\",\"INTRA\",\"52W\")":0.9686139,"EWZ^FG_TOTAL_RETURNC(0,-6AM)":-12.259447,"EWM^FG_TOTAL_RETURNC(0,-3AM)":8.698904,"EPOL^FG_TOTAL_RETURNC(0,-1AM)":3.6989808,"INDA^SIZE(FG_CONSTITUENTS)":147,"EWT^SIZE(FG_CONSTITUENTS)":90,"ECH^FMA_COS_DOWN(\"EPS\",\"1M\",+1,NOW,,,\"PORTAGG\",\"MEANR\")":9.0,"VWO^FG_FCF_YIELD_NTM(0)":5.42033256095268,"CNYA^FMA_EVAL_EBITDA(NTMA,0,,,\"PORTAGG\",\"MEANR\")":9.47552911768385,"EWM^FG_PRICE_MAVG(0,,,,30)":22.861,"QAT^FMA_PCT_ABOVE_MAVG(200,0,,,,\"PORTAGG\")":45.7142857142857,"EWW^FG_TOTAL_RETURNC(0,-3AM)":-8.950358,"EIDO^FMA_PCT_ABOVE_MAVG(200,0,,,,\"PORTAGG\")":36.6197183098592,"CNYA^FMA_PCT_ABOVE_MAVG(200,0,,,,\"PORTAGG\")":40.2061855670103,"VGK^P_PRICE(0)/P_PRICE_HIGH_PR(0,,,,,,\"PRICE\",\"INTRA\",\"52W\")":0.9574814,"SPY^SIZE(FG_CONSTITUENTS)":503,"VNM^SIZE(FG_CONSTITUENTS)":49,"EWT^FMA_COS_DOWN(\"EPS\",\"1M\",+1,NOW,,,\"PORTAGG\",\"MEANR\")":25.0,"ECH^FMA_COS_UP(\"EPS\",\"1M\",+1,NOW,,,\"PORTAGG\",\"MEANR\")":12.0,"EWZ^FG_ROE(0)":19.7114263927476,"REFSAREPO-FDS^PROPER_NAME(0,,,\"SECURITY\",\"NAME\")":"Saudi Arabia Repo Rate","REFPHRREPO-FDS^PROPER_NAME(0,,,\"SECURITY\",\"NAME\")":"Philippines Reverse Repo Rate - Overnight","TRYTR7Y-FDS^PCTCHG(FG_YIELD(0,,,,\"YTM\"),FG_YIELD(-1AM,,,,\"YTM\"))":-5.431099,"TRYIN10Y-FDS^FG_YIELD(0,,,,\"YTM\")":6.9705,"VWO^FMA_DIV_YLD(NTMA,NOW,NOW,M,\"PORTAGG\",\"MEANR\")":3.05903917466029,"MCHI^FG_FCF_YIELD_NTM(0)":7.60982631172532,"CC_IN^FG_COMPANY_NAME":"India","USDTRY^STD(FG_PRICE_CHANGE(0,-1AY,AM))":3.72028301712186,"USDINR^STD(FG_PRICE_CHANGE(0,-1AY,AM))":0.372061591716455,"USDMYR^FG_PRICE_CHANGE(0,-3AM)":-2.0069003,"USDIDR^STD(FG_PRICE_CHANGE(0,-1AY,AM))":1.71505233235376,"FC0000AE^FMA_EPS(NTMA,-20AY,0,CY,,\"PORTAGG\",\"MEANR\")":[null,null,9.51942202383999,6.27417255991747,8.02074819362704,5.61305265783873,4.48773354464463,4.36276532972229,4.57776089413252,5.61852556037871,6.62765839680209,6.49328499289418,6.08610782877682,7.11967239035059,7.13788542966966,7.02066550067882,5.12773396645605,7.54796836254382,11.3918613623253,11.0560462161177],"INDA^P_PRICE_RETURNS_PR('52W',2,-10AY,0,AM)":[23.428785,50.759148,31.765902,23.19498,32.972443,26.501083,30.541945,41.90593,30.03869,21.466839,5.4370046,2.757895,7.8837276,-1.2532532,-10.508621,0.06005764,-13.258463,-8.852631,-20.978428,-25.88451,-19.155163,-12.295574,-12.879456,-4.9608946,-7.1700335,-1.1314154,7.0866942,1.5229225,-2.4951994,-0.6214678,10.51445,20.404613,19.475735,12.521768,23.664188,19.570005,18.761826,14.686847,18.00077,16.46719,33.08809,34.815716,37.316277,22.163307,8.45648,12.082553,4.0181994,3.1223655,0.23984909,6.3039064,-0.710696,-11.879957,-6.198925,-6.803876,-10.450625,-9.284317,7.058811,3.4927368,2.0068645,5.9511065,3.1176925,-8.135676,-6.102723,16.404009,7.4753404,9.10145,10.707951,12.624729,-34.89707,-26.962143,-23.435223,-17.249012,-9.566462,4.0401697,7.885492,2.988577,6.960821,11.999583,14.08236,21.509314,86.80265,55.46322,69.609924,56.119,39.277958,38.52289,42.95324,44.38107,36.09245,19.244492,22.045135,10.667753,15.307629,17.23963,0.60219765,-6.9084764,-0.96297264,0.7197261,-5.880654,-13.792724,-8.154928,-3.2561421,-9.726059,-9.596407,-13.616925,-9.891349,0.26980639,11.140907,9.8047495,-1.3140142,3.5011888,9.017801,5.100608,14.798117,16.875576,26.784111,30.888058,29.181349,28.717434,28.703917,25.823069],"EWZ^FG_TOTAL_RETURNC(-10AY,0,AM)":[3.7300587,1.3520837,-6.335819,-5.591619,-9.2280445,-10.947811,1.9716859,-4.7385693,-13.607777,14.278626,2.9100895,-4.895896,-4.9974737,-18.305838,-11.728155,3.6075711,6.7091346,-15.559095,-13.126749,8.667028,35.28521,7.57463,-8.151234,3.625381,20.131184,5.4095387,-4.9579678,13.697386,-12.557018,-4.541266,17.603481,8.607805,-5.122328,-2.0682275,-4.1140976,-1.8592596,9.131634,5.117154,10.325396,-1.3005137,-6.2823477,-1.7445207,14.845478,2.4061203,-2.9424667,-1.357472,-12.155962,-13.182938,5.440092,-3.5362363,-2.253604,19.735634,2.4646997,-6.157178,17.104912,2.1990776,0.4529953,-8.771139,-8.576364,18.549347,6.2817574,-11.451542,2.8711557,1.1927485,-0.99009275,12.238002,0.6581187,-6.0949507,-49.44204,13.648642,-7.173997,28.349472,5.5218816,-4.754305,-0.16750693,-3.0872464,13.954294,15.428364,-2.705574,-2.7262807,-4.007846,2.9780984,6.322658,8.651817,-5.731368,-8.9082775,-3.36622,-5.6756735,-7.131487,3.757143,6.263888,10.137165,5.2551746,7.301581,-11.726737,-10.878765,-5.9455576,18.697643,0.32082796,3.229928,-8.70508,-2.1951675,10.231519,-2.8116524,-8.051592,5.269146,7.634139,10.783815,-0.1546979,-5.3610144,4.9115896,-6.0549316,11.262465,6.4795375,-4.230708,0.4551053,-3.110838,-4.177064,3.2856226,-11.973471,3.4737587],"EZA^FMA_PE(LTMA,-10AY,0,AM,\"PORTAGG\",\"MEANR\")":[16.0444248446806,16.3443969973232,16.4761187585232,15.9173850167227,16.681495284151,16.8171260328143,16.9922138724151,18.3013413842081,18.4000489646833,18.5508345781306,18.4563118240485,17.9193110212612,18.0801305476325,17.2059685069226,17.1775611222395,17.9116565623058,17.5706940786478,16.1552385232363,14.9864662968331,15.826043776284,16.0896640871268,16.075072547543,15.5766882150482,15.7488781002735,16.2587271860876,16.9013555767824,16.6723173742714,16.6513005726185,16.2625449784051,16.4605276294707,17.4680571572664,18.5335198604956,18.493992195382,18.2587560506707,18.3108402501129,17.7827128212772,17.9901174728861,18.0871827294752,17.6496569045113,18.1485266865348,18.8216380416981,18.2554607520551,18.6644633205718,18.4209862955283,18.1650751190672,17.9101118961688,17.4446408350915,16.8631969009438,16.6081693501809,16.0445268924438,15.7410401057659,14.5753944918256,14.85948639377,14.6905653103403,15.3197979979924,15.1332604885851,15.3077900469311,15.3922483457549,15.0356277580045,15.055015732645,14.8588233088652,13.9783318521319,13.9119810920045,13.6468775394099,13.8622842773553,14.6197860411157,14.5774176348489,14.6221179110862,11.8632365289013,12.1803069476656,12.5360611661402,12.950131534388,13.4566174653121,13.4914255334913,13.3004800381916,13.2846854734825,13.5994006182076,14.182395210707,14.0943223071773,14.3620749659281,13.4264649926611,13.0497410352709,12.6118424094369,12.1857738055412,11.6453036550469,10.9662091038239,10.6835621860632,10.8754682076445,10.59374306583,10.3771504584901,10.6686256439242,11.2056224351668,11.1492096822201,10.8734247019837,10.4956244754215,10.1124554123485,10.2051810068248,10.1402849520787,9.62101701855146,9.57277859188485,10.2579147703557,10.1962495272417,10.9588441762061,10.4420237203425,10.1421951527128,10.2495582523718,10.0596155278859,10.2515667412933,10.613873004656,10.3026250745097,10.5437985886653,10.4836435399433,11.0117497909516,11.4020371713144,10.895994661424,10.9107761920477,10.610581104385,10.465098658759,10.7612561754083,10.8141107235337,10.8126423521649],"CPALM-FDS^FG_PRICE_CHANGE(0,-1AM)":1.93040386080772,"FC0000KR^FG_PRICE(0)":472.56375,"EZA^FG_PRICE(0)":43.27,"EWM^FG_TOTAL_RETURNC(0,-1AM)":1.926446,"EWM^FMA_RBICS_REV_CURRENT(30, LOC, \"PORTAGG\")":40.2742682502274,"GREK^FMA_EVAL_EBITDA(NTMA,0,,,\"PORTAGG\",\"MEANR\")":5.77439026288126,"EIDO^FMA_RBICS_REV_CURRENT(30, LOC, \"PORTAGG\")":54.3072612494851,"USDKRW^STD(FG_PRICE_CHANGE(0,-3AY,M))":3.01024254390989,"USDMYR^FG_PRICE_CHANGE(0,-1AY)":3.192079,"EZA^FMA_DIV_YLD(NTMA,-10AY,0,AM,\"PORTAGG\",\"MEANR\")":[3.2523965896897,3.24934988332989,3.33359296242699,3.56144505058513,3.3035466666181,3.34364283482094,3.33752180428413,3.07202807776848,3.04834472490972,2.97245976882578,3.07634121411571,3.2420341828366,3.14859909691742,3.37306928222204,3.37710235713593,3.24084209357453,3.29447952140083,3.58487063692347,3.74042814310339,3.53889329135891,3.23284673751629,3.19224447360629,3.42914746558174,3.18438186360691,2.98715323016471,2.96011601538311,3.10273025620237,3.21120616083198,3.32759208356343,3.33362676084051,3.14527106177447,3.16565917158009,3.12570567291269,3.15629347688905,3.04198415936493,3.38653711498107,3.21336380402954,3.18347011343749,3.33158754934319,3.23747917909347,3.13840562904469,3.38889655996998,3.3107797263456,3.2857196225051,3.13601976323746,3.25241894395602,3.40944788950573,3.61395671510036,3.631220436656,3.73681267836244,3.76883763260365,4.14107023472373,3.99928413389767,3.94676972856934,3.73446396137105,3.83997135547746,3.8769749313302,3.62967557347753,3.90502282892023,3.75313131204466,3.76916742388957,4.10439922584461,4.20851489283874,4.21675986259414,4.10397517468855,3.69528703280929,3.67252341974017,3.72803802777985,5.9789695818322,4.36848648498605,3.44111294573018,3.35861308337449,3.35629037750812,3.42988773681785,3.50448503357043,3.59674929661933,3.58438355007894,3.7687028456071,3.90096161242256,3.80655144036816,3.87195964281848,4.09739031903683,4.34004526067802,4.28492742588824,4.63345206800773,5.11650951131991,5.1551402927686,4.74749131488755,4.52749679973483,4.64454908201006,4.42874556259393,4.33308245627667,4.33121679588153,4.62025642283192,5.00214092009193,5.24122215775809,4.97371629296186,5.04581192650598,5.39371520440134,5.50287479489085,4.95493888982005,4.89527707646168,4.57794184427525,4.66948182712529,4.92860999789913,4.49101780259288,4.67712856078468,4.41900879382652,4.20771104651133,4.50792314213504,4.48185889955997,4.5547402798385,4.35171284786761,4.17839818797036,4.41239782099164,4.35447055561191,4.33753948447573,4.2958658104546,3.92276208937258,3.95454844472058,3.95024053990584],"EZA^FMA_PE(NTMA,-10AY,0,AM,\"PORTAGG\",\"MEANR\")":[14.9944857844774,15.1697051909929,15.0305491352608,14.1467671411264,15.265696883442,15.625138012588,15.9447223741145,16.8838162233354,16.8195633567087,17.5328329731406,17.1513305678291,15.9385840367911,16.4518375356984,15.1537964896317,15.3946759068989,15.9610673874458,15.4214650916815,14.1339660335077,13.1199372813089,13.9584996105906,15.2002608657366,15.2456309721523,13.9434745441442,14.450268925122,15.3255575623281,15.7014778009505,14.9663069460555,14.5965419870441,14.1292526890315,14.1233295851474,15.0927942443602,15.4141570739356,16.1972505903599,15.874754984214,16.2729884392826,15.2427434824402,15.7409056067169,15.7457476742512,15.1046406703432,15.5123054664423,15.9034733345906,14.8195952427703,15.1746188330855,15.2644364681587,15.8708501976525,15.4807413414814,14.6569392329188,13.8253171305825,13.7394845990689,13.11048765822,13.0616198451068,11.9823700963212,12.5044565840128,12.4337744595361,13.0676196012146,12.9368758725723,13.0279458640756,13.8035458339323,13.0136436918097,13.2809213286672,13.0783957673043,11.8089651837704,11.940369210879,11.7357250488056,12.0373976547036,12.4264426296771,12.3880994494736,12.0973724342398,7.28978279842586,9.58132035930133,10.7236918280449,11.3201841800695,11.8216490552858,11.2533755403785,10.6860275617329,10.3732172706629,10.3373236820519,10.1328408832743,10.0540657922077,10.3971705479572,10.0256346099296,9.92579063892886,9.5875990125286,9.4177049007135,9.13466187832092,8.8026194035387,8.82285166451449,9.58143991016088,9.59202850291257,9.57805497494657,9.82996996697154,10.0537203757874,10.0479948889872,9.42765599691626,8.77113510583452,8.29502985535376,8.73237920172449,8.6083888218774,8.0847968472935,8.2415461142142,8.98099628921896,8.93519288609464,9.43054545491842,9.07852900503553,8.4150821246218,9.22841326928973,8.85474542025812,9.43159207433314,9.95779019521482,9.36943239053628,9.47351825198302,9.24078272230281,9.70480927910401,9.85911461544805,9.29989401404817,9.4119156691892,9.1474693816304,8.99920564882893,9.91120789064572,9.99560002720255,9.81341468859488],"DDR3512M-FDS^FG_PRICE(0)":0.92,"NI-FDS^FG_PRICE_CHANGE(0,-1AY)":-22.1980676328502,"COPP-FDS^FG_PRICE_CHANGE(0,-6AM)":11.4074465275944,"KSA^FG_PRICE_MAVG(0,,,,60)":41.505,"QAT^FG_PRICE_MAVG(0,,,,200)":17.308031,"EWM^FG_PRICE(0)":23.28,"CNYA^FG_PRICE_MAVG(0,,,,200)":26.173203,"VNM^PERCENT_CHANGE(FMA_EPS(+1,0,,,,\"PORTAGG\",\"MEAN\"),FMA_EPS(+1,-3AM,,,,\"PORTAGG\",\"MEAN\"))":4.96226796014563,"TUR^PERCENT_CHANGE(FMA_EPS(+1,0,,,,\"PORTAGG\",\"MEAN\"),FMA_EPS(+1,-1AM,,,,\"PORTAGG\",\"MEAN\"))":-5.32639026952004,"GREK^FG_TOTAL_RETURNC(0,-6AM)":10.356951,"EWZ^FG_TOTAL_RETURNC(0,-3AM)":-5.9229493,"EPOL^PERCENT_CHANGE(FMA_EPS(+1,0,,,,\"PORTAGG\",\"MEAN\"),FMA_EPS(+1,-3AM,,,,\"PORTAGG\",\"MEAN\"))":-1.36735148501102,"VNM^FMA_COS_DOWN(\"EPS\",\"1M\",+1,NOW,,,\"PORTAGG\",\"MEANR\")":12.0,"INDA^FMA_COS_DOWN(\"EPS\",\"1M\",+1,NOW,,,\"PORTAGG\",\"MEANR\")":55.0,"EWT^FMA_COS_UP(\"EPS\",\"1M\",+1,NOW,,,\"PORTAGG\",\"MEANR\")":35.0,"TRYPL10Y-FDS^FG_YIELD(0,,,,\"YTM\")":5.5731,"CC_IN^IMF_IFS_RCPI_Q(0)":null,"CNYA^FG_FCF_YIELD_NTM(0)":6.24729798928141,"VWO^FG_PE_NTM(0,,,90,0)":12.6414941890963,"VNM^FMA_EVAL_EBIT(LTMA,NOW,NOW,M,\"PORTAGG\",\"MEANR\")":17.5313242194594,"TUR^FMA_DIV_YLD(NTMA,NOW,NOW,M,\"PORTAGG\",\"MEANR\")":3.9648769882639,"QAT^JULIAN(FMA_DIV_YLD(NTMA,NOW,NOW,M,\"PORTAGG\",\"MEANR\").DATES)":45471,"GREK^FG_FCF_YIELD_NTM(0)":null,"EWZ^FMA_PE(LTM,0,,,\"PORTAGG\",\"MEANR\")":7.35402230295765,"VNM^FMA_EVAL_EBITDA(NTMA,0,,,\"PORTAGG\",\"MEANR\")":9.83091853337612,"EWZ^JULIAN(FMA_DIV_YLD(NTMA,NOW,NOW,M,\"PORTAGG\",\"MEANR\").DATES)":45471,"EWT^FG_FCF_YIELD_NTM(0)":3.80556080337323,"EIDO^FMA_EVAL_EBITDA(NTMA,0,,,\"PORTAGG\",\"MEANR\")":6.30690864821606,"EWW^FG_COMPANY_NAME":"iShares MSCI Mexico ETF","TRYZA10Y-FDS^FG_YIELD_NAME":"Treasury - South Africa Benchmark Bond 10Y","USDTRY^FG_PRICE_CHANGE(0,-6AM)":9.4990015,"USDINR^FG_PRICE_CHANGE(0,-6AM)":0.7177949,"USDIDR^FG_PRICE_CHANGE(0,-6AM)":3.682351,"GREK^P_PRICE_RETURNS_PR('52W',2,-10AY,0,AM)":[38.36303,19.882954,3.0035377,-24.661266,-23.511522,-33.617954,-46.186,-44.075348,-59.025707,-54.89206,-36.45421,-53.641975,-51.58829,-50.5247,-45.502865,-37.175835,-42.02154,-42.95388,-44.867672,-51.235016,-30.064552,-25.204086,-32.26029,-27.31641,-28.74235,-24.369335,-32.91785,-26.850069,-18.144321,-7.893091,15.402615,22.431517,7.2902083,5.4582953,17.08057,34.30314,51.274586,42.01964,39.227283,27.94516,18.381357,35.82964,43.02094,46.143784,29.52335,38.105453,0.4279256,-5.3394375,-11.612171,-15.447044,-10.507655,-17.939478,-14.123529,-27.478153,-33.24603,-28.303326,-17.567152,-17.69564,-15.767455,2.6725292,4.894316,6.7764163,16.093695,32.328354,38.517654,45.077038,46.65221,24.516308,-35.66107,-27.63772,-23.379427,-26.382845,-27.655703,-18.828428,-23.312355,-31.994366,-24.583595,-11.643326,-13.543987,-10.235429,76.69752,53.440918,65.432594,44.968616,30.391848,33.227337,34.67759,50.031887,29.278683,4.606509,14.468527,22.588598,2.8493285,4.0207148,-9.460175,-15.847415,-9.175605,-6.873995,-15.361208,-16.498428,-6.657779,3.724742,3.2957435,12.9912615,12.45563,18.342758,30.626942,61.193993,78.63407,51.768208,50.58167,47.615124,49.234188,46.801804,38.62555,28.834248,42.102287,24.949337,36.0834,11.889315,9.543085],"EWY^FG_TOTAL_RETURNC(-10AY,0,AM)":[0.35648346,3.1196833,-5.017221,-10.438347,-1.1619687,-0.33160448,1.7001271,-0.906986,2.674079,6.6596746,-2.3762703,-6.5133452,-4.9200892,-9.631735,4.4723153,8.021605,-2.0740747,-3.3850253,-6.243783,-0.34195185,11.816418,3.6056757,-9.55202,3.4793258,6.7049026,6.1167717,-2.6550233,2.3506165,-8.92356,4.446578,4.7537684,3.2229424,5.7271004,-3.1979084,12.540018,1.3479114,4.49239,-4.6103835,3.8843632,2.7971983,5.81702,-1.5662014,6.630063,-2.4974287,-1.1750698,0.7214427,-3.1834483,-7.0146503,-3.8455904,-0.9653747,3.048122,-7.7177167,-2.4568796,-2.3839056,6.425357,3.580153,-2.5137484,1.9983888,-12.671828,6.2059045,-1.6695023,-9.702015,9.113586,1.2660503,5.452335,3.5140514,4.079318,-4.63773,-36.138855,30.17949,2.3242116,9.23965,4.740083,8.243608,2.6422262,0.62083006,12.26486,9.717512,14.048254,0.5073905,-4.5327606,5.085516,-3.5546064,1.1323214,-2.7332604,-6.3311157,0.09639263,-2.38325,-3.2922268,2.3334622,-3.4873307,-3.7584066,-2.0279586,-3.258741,-5.3491354,-8.813196,-1.6917944,0.39188862,-7.8241644,-8.764505,17.154396,-1.2433112,9.744036,-2.0588696,-4.204297,6.908965,-0.49711466,7.1394086,0.96269846,-9.609663,3.1481862,-7.782042,7.866919,4.2730927,-6.316364,8.319283,1.6980767,-6.0661736,6.751466,0.25969744,-0.6094694],"EWZ^FMA_PE(LTMA,-10AY,0,AM,\"PORTAGG\",\"MEANR\")":[12.1383088867735,12.6312429501932,12.6282516153127,12.6410730960707,12.5736410860432,12.2223398167675,12.2648396801936,12.7821466116394,12.9918405810878,13.4619768717145,13.8210547894228,13.9187731811782,13.6985239666323,12.7091958433218,12.6635393711753,12.5276844380104,12.9911601334629,12.1350269194582,10.8942902104208,11.8530384494076,13.0582819981264,13.3861292425839,12.9892263199398,12.9623721590183,13.9855248174465,14.5738648724551,14.2567490974029,15.3956380091377,14.8497843514008,14.0860872855223,15.2807750919226,16.8915367238117,16.5512557998797,16.0894795473062,15.662066496478,15.1382071410758,15.0376636090229,15.3019641301473,15.853491246833,15.608637103516,14.7007643154641,14.4345725777968,15.6898453815019,16.1442161002291,16.3013517203627,16.0179114141636,15.451328887682,14.3686626777831,14.2838045748449,13.7382497780732,13.2727048344773,13.713619344295,13.8432428871453,13.435190397109,14.9022950850591,15.2012940888059,14.7125592275175,14.193909453028,13.8697883572829,14.3262498515546,14.3026369599852,14.1248056329686,14.1679355252107,14.7412850772171,15.153381578033,17.0500804320684,17.3660224944153,17.0027666216629,16.112047118541,16.4793036734193,17.9836020333511,20.3052758185498,31.5774432276564,35.4401377598005,31.4905045802767,30.9531819745704,31.1797134888437,35.6490784489291,31.2525945746229,27.2812269684843,20.0446275444801,18.7320731750118,17.5825104557321,16.5802278716368,14.9447615231495,13.1295144386427,11.5935479111132,10.1272949377039,8.25219115286026,7.25498359524435,6.78696581824808,7.06394811557641,7.04120152885941,6.94291622983807,6.58523888677301,6.33388989327467,6.18771196988481,6.2202605671895,6.11621431918988,6.36500643943114,5.92866871933421,5.46412756243669,5.87884933228842,5.75298631045867,5.53836216550096,5.73272581590491,6.01084655994868,6.55960136717913,6.9009377796708,7.02052493637646,7.30249627474674,7.31331770337237,7.98451702982939,8.53489049785897,8.19440370240257,8.32115132924003,8.40449505899196,8.2886899325094,8.22151710156899,7.87605747100616,8.10775919366641],"NI-FDS^FG_PRICE_CHANGE(0,-6AM)":1.06683401317853,"CPALM-FDS^FG_PRICE_MAVG(0,,,,30)":3984.0667,"EWZ^FG_PRICE_MAVG(0,,,,200)":31.6912,"EPU^FG_PRICE_MAVG(0,,,,200)":36.158085,"TUR^FMA_PCT_ABOVE_MAVG(200,0,,,,\"PORTAGG\")":70.5263157894737,"MCHI^FG_TOTAL_RETURNC(0,-12AM)":-5.102915,"EWW^FG_TOTAL_RETURNC(0,-1AM)":3.1695724,"EWM^PERCENT_CHANGE(FMA_EPS(+1,0,,,,\"PORTAGG\",\"MEAN\"),FMA_EPS(+1,-3AM,,,,\"PORTAGG\",\"MEAN\"))":2.21310694096505,"EPOL^PERCENT_CHANGE(FMA_EPS(+1,0,,,,\"PORTAGG\",\"MEAN\"),FMA_EPS(+1,-1AM,,,,\"PORTAGG\",\"MEAN\"))":3.45142256911886,"ECH^FG_TOTAL_RETURNC(0,-12AM)":-15.253234,"SPY^P_PRICE(0)/P_PRICE_LOW_PR(0,,,,,,\"PRICE\",\"INTRA\",\"52W\")-1":0.34158504,"VGK^FG_TOTAL_RETURNC(0,-6AM)":10.566032,"SPY^FMA_COS_DOWN(\"EPS\",\"1M\",+1,NOW,,,\"PORTAGG\",\"MEANR\")":204.0,"CNYA^SIZE(FG_CONSTITUENTS)":485,"EPU^FMA_RBICS_REV_CURRENT(30, LOC, \"PORTAGG\")":30.8413445335127,"EWY^FG_ROE(0)":6.25227622022449,"TRYIN10Y-FDS^FG_YIELD_NAME":"India Benchmark Bond - 10 Year","REFVNDISC-FDS^(SUBARRAY(NOT_NA(NO_REPEAT_F(FG_YIELD(NOW,-10AY,D))),0,1)-SUBARRAY(NOT_NA(NO_REPEAT_F(FG_YIELD(NOW,-10AY,D))),1,1))*100":-50.0,"REFMXTON-FDS^FG_YIELD(NOW,,,0)":11.0,"REFIDRREPO-FDS^(SUBARRAY(NOT_NA(NO_REPEAT_F(FG_YIELD(NOW,-10AY,D))),0,1)-SUBARRAY(NOT_NA(NO_REPEAT_F(FG_YIELD(NOW,-10AY,D))),1,1))*100":25.0,"TRYTH10Y-FDS^PCTCHG(FG_YIELD(0,,,,\"YTM\"),FG_YIELD(-3AM,,,,\"YTM\"))":-4.2192974,"TRYMX10Y-FDS^PCTCHG(FG_YIELD(0,,,,\"YTM\"),FG_YIELD(-1AM,,,,\"YTM\"))":-0.45945346,"TRYUS10Y-FDS^FG_YIELD(0,,,,\"YTM\")":4.2379,"CC_GR^IMF_IFS_RCPI_Q(0)":2.571976,"EWT^FMA_EVAL_EBITDA(NTMA,0,,,\"PORTAGG\",\"MEANR\")":10.716584528358,"EPU^FMA_PE(NTMA,0,,,\"PORTAGG\",\"MEANR\")":11.5339685123526,"EIDO^FMA_EVAL_EBIT(LTMA,NOW,NOW,M,\"PORTAGG\",\"MEANR\")":9.32631576919699,"EWY^FG_COMPANY_NAME":"iShares MSCI South Korea ETF","VWO^FG_PE(0)":14.4640537694995,"TUR^FMA_PE(NTMA,0,,,\"PORTAGG\",\"MEANR\")":6.38842321139958,"MCHI^FMA_EVAL_EBIT(LTMA,NOW,NOW,M,\"PORTAGG\",\"MEANR\")":13.217911740795,"EPU^FMA_PE(LTM,0,,,\"PORTAGG\",\"MEANR\")":17.8648816057921,"EWW^PERCENT_CHANGE(FMA_EPS(+1,0,,,,\"PORTAGG\",\"MEAN\"),FMA_EPS(+1,-1AM,,,,\"PORTAGG\",\"MEAN\"))":4.43576720216843,"EPU^SIZE(FG_CONSTITUENTS)":26,"TRYVN10Y-FDS^FG_YIELD(0,,,,\"YTM\")":2.7215104,"USDKRW^STD(FG_PRICE_CHANGE(0,-1AY,AM))":2.56665283931548,"USDMYR^FG_COMPANY_NAME":"Malaysian Ringgit per U.S. Dollar","EZA^P_PRICE_RETURNS_PR('52W',2,-10AY,0,AM)":[21.188545,23.494398,4.3397903,-2.5298178,11.977636,7.786894,8.842289,16.973007,7.7056766,6.3197374,1.4494061,-5.3295193,-3.0081391,-15.904456,-16.128899,-4.617566,-17.889881,-26.207859,-37.563114,-30.944473,-20.708067,-17.67609,-29.331547,-17.427534,-11.06826,7.2417736,3.0393481,-4.2808,-4.36967,11.258661,43.304443,24.725903,20.08196,5.730176,30.854427,17.554401,11.848295,2.8696656,10.98125,14.724504,26.452303,34.323906,34.137474,33.2062,20.10299,23.881256,9.725534,-0.72624683,-2.5959015,-9.239078,-10.029536,-17.545975,-14.105368,-23.776419,-21.442253,-24.737823,-21.619965,-13.660359,-14.782649,3.344512,-0.18780828,-9.410763,0.37499666,9.218478,3.136766,13.240278,-0.8008778,-2.4021506,-45.235664,-41.00855,-30.24184,-27.869379,-20.079262,-9.884816,-17.182367,-16.67071,-7.941127,-1.7757177,-1.3992488,11.149036,101.7348,82.03536,64.3102,45.837677,27.07423,30.02144,24.622238,38.92875,14.905823,3.8590908,12.0212555,9.078968,14.687204,2.0611525,-8.179527,-12.730044,-9.710789,-5.3073463,-13.491905,-23.28136,-4.8512936,-3.57396,-4.639393,-15.999424,-25.604027,-13.835549,-12.629986,3.3140898,8.341705,-8.23716,2.8620481,4.677558,-4.279709,0.024807453,-13.781661,-7.369775,-1.2266338,-8.206254,14.394975,7.41359,3.7487507],"EWY^FMA_DIV_YLD(NTMA,-10AY,0,AM,\"PORTAGG\",\"MEANR\")":[1.28431698446963,1.27694809623992,1.31852127620596,1.48631790400145,1.40405998704382,1.40634265010909,1.54913530451921,1.58621371941933,1.52989311906326,1.48909781654516,1.5705650585409,1.67487249771274,1.69139776262861,1.82535607662238,1.78693676902512,1.71742009500319,1.85577755403912,1.91656420017746,2.04656681257087,1.94948357580103,1.90194153640443,1.90343603074636,2.01025235790933,1.98793728138935,1.92908545530421,1.86437364773598,1.89830780460122,1.91184832477691,2.00533905844591,1.94565211213418,1.95047779401178,1.9328518583149,1.86638642799833,1.96747598655974,1.82713110171233,1.76877973240993,1.74285657214533,1.8347375260892,1.79034792093512,1.73011362199217,1.95974499915208,2.04592907222641,2.01389914498981,2.14620088666938,2.1687941933232,2.18586768050693,2.23449892836629,2.32268481566088,2.36818030013486,2.4445132326024,2.40772780520617,2.56102841820774,2.60267697899463,2.60506709276653,2.55069191093384,2.46696024387288,2.51024873627494,2.46531275943955,2.60529647833257,2.51319784492235,2.51553920451447,2.69511206009745,2.4894559764681,2.510321422107,2.38304947073981,2.3146063039727,2.26219463267975,2.25366855571223,3.41231362734397,2.54728165081324,2.41692729028694,2.2510102822497,2.20301066006805,2.0936129840489,2.08501265084677,2.13845208189383,1.99778945712536,1.85651730813168,1.65392512209744,1.64881571853235,1.6911447972549,1.66550240296104,1.73800203518273,1.65851966306653,1.70352596133037,1.85095094789604,1.83885371449118,1.92508355660957,1.98098385964571,1.9201117016065,2.03631262830083,2.16149906643303,2.22322161682728,2.24988258849016,2.37700212926024,2.52925121622551,2.60272643830881,2.50352607842991,2.68398094307918,2.72600131845482,2.50407441956384,2.54772741362176,2.50910366860027,2.46010751574189,2.48984594670765,2.2869325935099,2.37819169116948,2.29301808449385,2.33024363759159,2.4793414945887,2.37313872524294,2.53048056463605,2.42675421532023,2.31833294755454,2.41309545984039,2.23665813768494,2.23405965402192,2.28209509395711,2.17271729722645,2.10583607241768,2.06458071653989],"EWZ^FMA_PE(NTMA,-10AY,0,AM,\"PORTAGG\",\"MEANR\")":[11.783593586017,12.1332474996867,11.977990926509,11.6847800743585,11.4347579911292,11.0298993759248,11.2817943601753,11.9857675613145,12.6234436157554,13.7559699442375,13.89971938602,13.3149393698303,12.7887925747973,11.1367026551742,11.2145253594665,11.1787084158213,11.2580487881943,10.5095466481496,9.40935939609654,10.792465804952,13.25225293497,13.8249115606746,12.4151142769942,12.0772424381355,13.5897772788526,14.0858040354087,13.5222250617607,14.6630545204173,13.5188883231932,12.1903992548008,13.2329795248339,13.7827284601621,12.7093886976668,12.3846280818481,12.0950490834199,11.8389511664276,12.2960403910721,13.0502146596324,14.1838890349405,13.999205617384,13.155124467107,12.9301853986946,13.7793771401452,13.5797682108525,12.7007897544714,12.8235436390087,12.0190293524675,10.4748868773612,10.9223591356918,10.7360885536659,10.6032179766331,11.1095247444071,11.5348640907846,11.2517489964751,13.0276428193818,12.7914982130289,12.6101926514431,11.4559175393489,11.1329483851999,12.4648231618015,12.6584416351028,12.3552050119142,12.9030255705228,13.0706390917035,13.3069307492034,14.3643321916529,14.6211790467143,14.2910510665909,9.478368488531,12.3334990291917,15.3811595606423,18.4679593259594,27.0289951113629,24.8283104758687,19.215604347668,16.284316639452,14.6197165120396,13.4363643864464,12.1171280846148,11.0444541618222,9.60975069136048,9.2510751610433,9.01291271344842,9.37584747666016,8.64952651451573,7.78287468993197,7.52139474326031,7.71452712622732,7.31022579356389,7.88271625279225,7.94573369386804,8.0099229583986,7.82625891676425,7.34375406809957,6.46191020994864,6.02377652075603,5.97122016380343,6.34926015361963,6.54102906319109,7.11474650400853,6.82368619534226,6.60211206352423,7.14614549245129,7.09083751478867,6.46983294113068,6.75832314612048,7.17324388780743,7.82598856764521,7.84339529901877,7.82950001615004,7.82644637003727,7.45504725610392,7.90882713458183,7.91072021961908,7.53885606466147,7.89619022790054,7.74717820637238,7.52938405966305,7.53604579178434,6.88482796566147,7.36033011849273],"WL-FDS^MAX(FG_PRICE(0,-5AY))":763.4,"CPALM-FDS^FG_PRICE(0)":4013.0,"COPP-FDS^FG_PRICE_CHANGE(0,-3AM)":-6.28609506885828,"KSA^FG_PRICE_MAVG(0,,,,30)":40.898,"QAT^FG_PRICE_MAVG(0,,,,60)":17.003193,"EPU^FG_PRICE_MAVG(0,,,,30)":41.09516,"CNYA^FG_PRICE_MAVG(0,,,,60)":26.252886,"VNM^PERCENT_CHANGE(FMA_EPS(+1,0,,,,\"PORTAGG\",\"MEAN\"),FMA_EPS(+1,-1AM,,,,\"PORTAGG\",\"MEAN\"))":4.44827483812148,"MCHI^P_PRICE(0)/P_PRICE_LOW_PR(0,,,,,,\"PRICE\",\"INTRA\",\"52W\")-1":0.18100047,"GREK^FG_TOTAL_RETURNC(0,-3AM)":9.023582,"EWZ^FG_TOTAL_RETURNC(0,-1AM)":3.4737587,"EPOL^FMA_PCT_ABOVE_MAVG(200,0,,,,\"PORTAGG\")":63.6363636363636,"VNM^FMA_COS_UP(\"EPS\",\"1M\",+1,NOW,,,\"PORTAGG\",\"MEANR\")":8.0,"INDA^FMA_COS_UP(\"EPS\",\"1M\",+1,NOW,,,\"PORTAGG\",\"MEANR\")":55.0,"EWM^SIZE(FG_CONSTITUENTS)":33,"TRYGR10Y-FDS^FG_YIELD(0,,,,\"YTM\")":3.429,"CNYA^FMA_DIV_YLD(NTMA,NOW,NOW,M,\"PORTAGG\",\"MEANR\")":3.0594944481675,"EWM^FMA_COS_DOWN(\"EPS\",\"1M\",+1,NOW,,,\"PORTAGG\",\"MEANR\")":9.0,"EWW^FG_ROE(0)":10.7675957018637,"GREK^PERCENT_CHANGE(FMA_EPS(+1,0,,,,\"PORTAGG\",\"MEAN\"),FMA_EPS(+1,-3AM,,,,\"PORTAGG\",\"MEAN\"))":8.79563941885878,"TUR^JULIAN(FMA_DIV_YLD(NTMA,NOW,NOW,M,\"PORTAGG\",\"MEANR\").DATES)":45471,"GREK^FMA_PE(LTM,0,,,\"PORTAGG\",\"MEANR\")":7.74888473192852,"CAGDPY@TH^EE_ACTUAL_ANNUAL(MED,0)":1.22282398910213,"CC_TW^FG_COMPANY_NAME":"Taiwan, China","USDIDR^FG_PRICE_CHANGE(0,-3AM)":-0.39987564,"FC0000GR^FMA_EPS(NTMA,-20AY,0,CY,,\"PORTAGG\",\"MEANR\")":[10.0263829592273,10.1383155721295,13.780296395744,19.0687884512301,14.4348202091653,11.7776779993124,7.89872428476136,4.25532007667177,3.48757992339741,1.35869561359766,2.30816157475713,1.40229646911472,0.485154410379686,0.505979411552489,0.451702417206922,0.580096132576718,0.557417673683109,0.621885469021717,0.869531876625146,1.21959709581891],"EWW^FG_TOTAL_RETURNC(-10AY,0,AM)":[3.6568642,1.4222145,-0.44867992,-7.4647903,1.0806799,-10.100383,-1.690048,0.97988844,-0.5788207,2.0547867,0.68792105,-1.9496739,-1.8717289,-7.15158,0.037574768,3.1924844,-0.12738705,-6.5142155,-11.150199,6.4336658,10.834551,1.6040683,-8.079493,-1.6164958,5.7810783,3.9285064,-11.69911,12.071919,-17.933537,3.0020833,-5.2630424,9.535217,9.514427,1.7175913,2.1205544,4.191506,6.627059,-0.5074382,-2.1280348,-5.55256,-4.3759584,-0.51998496,6.041622,-0.72408915,-4.376197,5.4395795,-13.287645,-1.2647033,12.837828,-0.5788386,3.031516,-7.190174,-13.541889,-1.6683042,12.337982,-2.4628341,-0.31846762,7.553637,-6.1531963,1.5767694,-3.5657525,-8.572775,11.514688,2.402401,0.06767511,4.8187256,4.2335987,-0.9373009,-39.865433,-1.363641,3.7575364,13.410675,-4.8684654,9.3134165,-3.024137,4.377818,16.977882,5.460155,4.0288568,-5.548006,5.0587416,5.6138754,2.3120165,-0.34453273,0.23494959,4.0272713,1.8025398,0.38229227,-5.2515507,4.763448,2.2322297,0.5809307,4.740095,1.1218905,-4.5693874,-8.349389,-0.32744408,4.0297866,-1.8947423,-1.2446284,15.927851,-4.1493773,11.774087,4.5170546,-6.747526,9.250772,2.1797419,5.964005,-0.2184093,-3.2989383,-1.665318,-11.67379,15.580786,10.839105,-3.9159656,3.347671,-1.8425047,-1.7711163,6.272149,-16.956211,3.1695724],"EWW^FMA_PE(NTMA,-10AY,0,AM,\"PORTAGG\",\"MEANR\")":[null,null,null,null,null,null,null,null,null,null,null,null,null,null,null,null,null,null,16.2072402627154,17.5067122483984,18.4298696716768,19.6469294345414,19.1940013233355,18.316955237272,18.6250204183464,18.830574888928,17.3527294952009,18.3164986235981,16.4376048850848,16.11469879411,16.0161035399065,16.3839314480041,16.9321673182168,16.7536984122373,16.5277323108735,16.5926384578476,17.0798827500908,17.1128561450649,16.8139458082317,16.3355778324138,15.7124256432394,15.765587877037,16.0383967476161,15.7355495642054,15.2699590687981,15.7103738488463,14.4524531575218,14.7104028334582,15.4893518217307,14.9109619486944,15.1707422780143,14.2956060821776,12.6419052917933,12.4339978503623,13.2860260255047,12.9303103120597,12.7898044804213,13.7279920295697,13.0551134392035,12.9932251873136,12.6449013192473,12.214193519389,13.4408705195062,13.6411627815524,13.7303019748018,14.1770762040375,14.584455887876,14.3160975597232,10.6931542785745,11.6704633129304,14.4602324376583,17.0243801136941,16.4451298665117,17.6350491988439,15.1787519290358,14.7483638754894,15.5087506593603,15.325074877776,15.0889021111221,14.4424635720672,14.8225353621038,15.042793628475,14.8867278499598,15.0939013027873,14.1530817684767,14.3718785324278,13.9744879910178,14.1080645527927,13.3361355546726,13.657026218124,13.649014604919,13.4403427058827,14.0954079630716,13.8209516251673,12.7013352597377,11.5797363470021,11.5420425599916,11.8300900069314,11.3716509179196,11.6061887091257,12.6010927321099,12.0772445430745,12.7429535651965,12.8358610190574,12.2692559633194,12.5524377441651,12.2020856085236,12.0537663321798,11.8413715968949,11.7339528778987,11.6017231526426,10.9446683422661,11.9324391263724,13.0805231324366,12.4550431166092,12.861278374057,12.337022065833,12.2807086331099,12.6326686132167,11.4483570234512,11.4817905821399],"EWY^FMA_PE(LTMA,-10AY,0,AM,\"PORTAGG\",\"MEANR\")":[11.3425931785643,11.6470257680185,11.6400399625984,10.8848598806712,11.5830107119399,11.5232364733354,11.2287231215788,12.2930934275058,12.1958561291891,12.0893021649244,11.744554643566,11.346596705363,11.1801608042134,10.8808115731033,10.8917606567693,11.1168712537755,11.1506531185681,10.5503683235593,9.69712645750266,10.5836046693152,10.6499859352216,10.6906875008955,10.4057252559808,10.4069587752405,10.5834152655075,10.6567059421116,10.6017166629655,10.8295739342208,10.6281636558318,11.1321134777788,11.2738964597655,11.6768504197092,11.6192891436079,11.2200925322717,11.1240880855923,11.0141922914106,10.9446431701456,10.4746548487913,10.4973415841372,10.5570837653687,10.453858418378,10.2103199664963,10.4065225260246,10.5379243184531,10.5090126289238,10.383214258047,10.167126880683,9.8952951414833,9.64603278634241,9.34879450851339,9.3483393847111,8.78911723463391,8.54132892245509,8.39032439611586,8.76087938706286,9.87417030263923,10.1023166693526,10.4324010813236,10.3983212490772,10.8883457840647,11.3152728863067,11.2220054166696,12.0119624492853,12.3203838806772,13.7558558970687,14.4819032869182,15.0578067545039,16.5793913352216,14.3656617998592,14.8113206459298,15.077672607633,15.4665516078184,15.6303146812546,16.2397266616711,16.4272851197787,15.999203560913,17.0802583154224,18.8079072720816,21.3965696020669,21.358313202385,20.108523786932,19.4646093673024,17.8606100856477,17.0530318927147,15.9582661466662,14.4171921363622,13.575190234192,12.2588345210284,10.9369160595857,10.1449715164848,9.29449445742828,9.43132869159129,9.34108443417134,9.35743190596574,9.20758639327991,8.9566320390826,8.96381022068531,9.09394458559657,8.73605833591166,8.76627067654826,9.90019292475945,9.75984888726373,10.3216058928925,10.9601398810318,11.2625443342494,12.2187542827717,12.3412945629701,12.6527430301569,13.0119084584946,12.9187902066527,13.7887922157642,13.5542411828544,14.1573551125299,14.9867309080448,14.6743468014333,16.7339347977934,16.0847059504883,15.4097231365457,14.9457568940308,14.371722437989,13.8442548004714],"NI-FDS^FG_PRICE_CHANGE(0,-3AM)":-15.4371226043581,"W-FDS^MAX(FG_PRICE(0,-5AY))":14.2525,"EWZ^FG_PRICE_MAVG(0,,,,60)":29.592,"SET-BKK^FG_TOTAL_RETURNC(0,-12AM)":-14.284414,"MCHI^P_PRICE(0)/P_PRICE_HIGH_PR(0,,,,,,\"PRICE\",\"INTRA\",\"52W\")":0.84140974,"EWW^PERCENT_CHANGE(FMA_EPS(+1,0,,,,\"PORTAGG\",\"MEAN\"),FMA_EPS(+1,-3AM,,,,\"PORTAGG\",\"MEAN\"))":-4.08923341179319,"EWM^PERCENT_CHANGE(FMA_EPS(+1,0,,,,\"PORTAGG\",\"MEAN\"),FMA_EPS(+1,-1AM,,,,\"PORTAGG\",\"MEAN\"))":-0.385720310649715,"ECH^P_PRICE(0)/P_PRICE_LOW_PR(0,,,,,,\"PRICE\",\"INTRA\",\"52W\")-1":0.1085763,"SPY^P_PRICE(0)/P_PRICE_HIGH_PR(0,,,,,,\"PRICE\",\"INTRA\",\"52W\")":0.97138864,"VGK^FG_TOTAL_RETURNC(0,-3AM)":6.232345,"SPY^FMA_COS_UP(\"EPS\",\"1M\",+1,NOW,,,\"PORTAGG\",\"MEANR\")":170.0,"GREK^SIZE(FG_CONSTITUENTS)":32,"CNYA^FMA_COS_DOWN(\"EPS\",\"1M\",+1,NOW,,,\"PORTAGG\",\"MEANR\")":144.0,"EPOL^FMA_RBICS_REV_CURRENT(30, LOC, \"PORTAGG\")":48.644387828237,"TRYGR10Y-FDS^FG_YIELD_NAME":"Greece Benchmark Bond - 10 Year","REFVNDISC-FDS^FG_YIELD(NOW,,,0)":3.0,"REFINREPO-FDS^(SUBARRAY(NOT_NA(NO_REPEAT_F(FG_YIELD(NOW,-10AY,D))),0,1)-SUBARRAY(NOT_NA(NO_REPEAT_F(FG_YIELD(NOW,-10AY,D))),1,1))*100":25.0,"REFMXTON-FDS^PROPER_NAME(0,,,\"SECURITY\",\"NAME\")":"Mexico Target Rate - Overnight","REFIDRREPO-FDS^FG_YIELD(NOW,,,0)":6.25,"TRYTH10Y-FDS^PCTCHG(FG_YIELD(0,,,,\"YTM\"),FG_YIELD(-1AM,,,,\"YTM\"))":-5.9127817,"TRYTW10Y-FDS^PCTCHG(FG_YIELD(0,,,,\"YTM\"),FG_YIELD(-3AM,,,,\"YTM\"))":-0.47961727,"TRYUS10Y-FDS^FG_YIELD_NAME":"US Benchmark Bond - 10 Year","TRYPH10Y-FDS^FG_YIELD(0,,,,\"YTM\")":6.265304,"CC_ZA^IMF_IFS_RCPI_Q(0)":null,"GREK^FMA_DIV_YLD(NTMA,NOW,NOW,M,\"PORTAGG\",\"MEANR\")":6.13403273798959,"EPHE^P_PRICE(0)/P_PRICE_LOW_PR(0,,,,,,\"PRICE\",\"INTRA\",\"52W\")-1":0.10596883,"MCHI^FG_TOTAL_RETURNC(0,-1AM)":-3.468871,"USDTHB^STD(FG_PRICE_CHANGE(0,-3AY,M))":2.97821615556812,"USDEUR^STD(FG_PRICE_CHANGE(0,-3AY,M))":2.13396080606637,"USDKRW^FG_PRICE_CHANGE(0,-6AM)":3.5698295,"USDPEN^STD(FG_PRICE_CHANGE(0,-3AY,M))":2.39719791107599,"USDIDR^FG_PRICE_CHANGE(0,-1AY)":7.96932,"EWZ^P_PRICE_RETURNS_PR('52W',2,-10AY,0,AM)":[17.600441,23.987293,-0.41501522,-8.476991,-12.613541,-15.641803,-10.568523,-9.238076,-23.03974,-24.95625,-24.922007,-29.463928,-33.23519,-47.928493,-51.55533,-46.14455,-36.688942,-39.361084,-48.856037,-41.658848,-11.9060335,-14.000577,-23.24425,-16.662848,5.7543993,36.45433,46.919968,61.227764,34.937393,49.35714,102.19021,98.0804,43.597244,29.018139,34.689022,27.560257,15.8804655,16.13146,34.141685,16.44696,25.61227,28.459347,25.446774,17.863035,21.001171,21.87935,19.192183,-1.2258172,-4.5670033,-10.567152,-22.408443,-5.8710933,2.9143333,-1.7075479,1.3889909,0.023579597,3.5228133,-4.7817826,-2.3449957,36.06435,37.150455,25.896622,32.497276,13.022685,8.202505,29.412483,11.702574,2.2096276,-48.557926,-35.25983,-34.93287,-29.553963,-29.981548,-24.76762,-28.172165,-30.07788,-19.523949,-16.591364,-20.002132,-17.13236,57.337093,42.56463,63.293137,39.690758,23.491049,18.10521,9.086334,11.267638,-9.321011,-18.898499,-10.975432,1.0804534,13.234865,15.164125,-4.3861923,-21.845795,-21.751331,1.9624233,5.8527827,15.846825,13.96203,7.3506236,11.358822,-1.7037749,-12.050104,-15.782827,2.6884317,26.068401,35.508026,5.7021976,12.986183,2.8238297,25.270403,36.427414,18.52833,22.726261,29.095448,17.511213,12.387657,-10.400325,-7.144201],"EWW^FMA_DIV_YLD(NTMA,-10AY,0,AM,\"PORTAGG\",\"MEANR\")":[null,null,null,null,null,null,null,null,null,null,null,null,null,null,null,null,null,null,2.23901330810418,2.1513540350778,2.08036202878744,2.02485995766357,2.11878212841998,2.1370522691691,2.04606742620282,2.03927621421785,2.13013295387633,2.05638486387229,2.33243523795422,2.39396267901345,2.37796281772887,2.37692746106561,2.37215274640436,2.41229377595199,2.39442154657738,2.49446925140988,2.3759321878262,2.37233864619671,2.45268895310723,2.48819556834477,2.53479322877522,2.53798821401362,2.47431192293148,2.62706572921456,2.62364834349482,2.59770640462304,2.89013245044069,2.86609128775434,2.72114183105432,2.81929155576395,2.74874319020641,2.94020409211972,3.42098206945065,3.45484695124552,3.23586955165528,3.34276260470382,3.45387500099862,3.2802216151793,3.49013153628187,3.52796192969034,3.67082800336205,3.93311248537637,3.59555044260703,3.48632987004196,3.50753969340514,3.43054806790019,3.33566064456186,3.33901654651169,4.46047854463258,4.33673339992361,3.53718671171197,3.05734282835721,3.16702752119253,2.96201581780736,3.34452200366098,3.34282399759408,3.22957674799055,3.44910815661,3.44085117849079,3.45862723450863,3.41000025490535,3.26005699984354,3.12652218230987,3.13386267915426,3.20170078859193,3.17863374187079,3.17287833770795,3.31385043540395,3.53073226977183,3.44489413402565,3.43397265935369,3.65256017536811,3.43517038578965,3.5235376366783,3.74220301031536,4.16152038008005,4.05299510007886,3.97954398692386,4.26429728163591,4.12216668260318,3.68131323167698,3.84764807466545,3.6560146829782,3.55663347188764,3.8712192036837,3.671642739755,3.63334627533598,3.66553970073259,3.81555839654976,3.97422265675089,4.10771522267352,4.42136852324372,4.06583043802345,3.72556838772743,3.90984642381049,3.7817137981575,4.11070685301839,4.18685547907285,4.18227470517724,4.56539343147111,4.44390257236538],"EWM^FMA_PE(NTMA,-10AY,0,AM,\"PORTAGG\",\"MEANR\")":[15.6509814794757,15.7113727362182,15.7172511954301,15.1251227752614,15.423779323103,14.7949503648194,14.9988883445248,15.5560074728314,15.7505449061391,16.0710990613469,15.7850252003187,15.2683762121157,15.3194632032196,13.9691539854976,15.158311674625,15.618460342311,15.0628654775251,15.2173379244722,14.9828505228532,15.4956114980247,16.1341724109893,16.100434573363,15.4537195095992,15.9554411028554,16.5095990398718,16.7032921089232,16.5788296513678,16.7820078479106,16.2427690873619,16.3842179081752,16.562240885926,16.7500225494194,16.9690536941558,16.7762735415116,16.979248641641,16.7024980720271,16.3008675075072,16.3767616332861,16.4208923709996,16.0102129658604,15.587678558459,15.9378437548373,16.7016322862536,16.6663377362033,16.365442383379,16.6973288736203,16.3050777116957,15.6755268848373,16.0564723810116,16.3186510963851,16.4561939941894,15.7352189446193,15.8102891519137,15.6773424417035,16.2338462165978,16.4203690026897,16.4790556475707,15.8861282881789,15.6532630204864,16.6786062519775,16.558457923611,15.9621060098603,16.0701535445785,15.7819143971986,16.1153125469714,16.1495845087685,16.0163110753749,15.4959409326376,12.9535166493328,15.897267989474,16.5294874688792,18.9788199799816,19.679463158299,18.7796940341557,17.508566428689,17.4376919552269,16.2180221172028,15.3470234092752,14.5480024871719,14.0742595578831,14.4714372607846,14.2269224199983,13.9558588853048,14.0609051754094,13.5397494499646,13.4593202751515,14.1269643628759,14.7424987596731,14.286944980152,15.0721590594282,15.2961866259737,15.6406716713714,15.3289679734756,14.9443363616078,14.4314522295439,13.5801820582178,13.3240371062432,13.9471022368568,13.3184219849463,12.8955865812281,13.105139137013,13.4174309771028,13.5846991842309,13.3365673159331,12.9302363982569,13.1075547326699,13.18821137844,13.3232780386065,13.4525825354129,13.7100488445621,13.8556218746971,13.6230502733285,13.668504231905,13.7681214455996,13.6972581042909,14.0502627291465,13.9805240382676,13.961168522316,14.4479895502665,14.0755556695749,14.3076503978871],"WL-FDS^FG_PRICE(0)/MAX(FG_PRICE(0,-1AY))":0.708933717579251,"W-FDS^FG_PRICE_CHANGE(0,-1AY)":-25.4208175884576,"COPP-FDS^FG_PRICE_CHANGE(0,-1AM)":-7.51863217886891,"FC0000AE^FG_PRICE(0)":143.0371,"FC0000PH^FG_PRICE(0)":321.1113,"KSA^FG_PRICE(0)":42.04,"QAT^FG_PRICE_MAVG(0,,,,30)":16.892824,"EPU^FG_PRICE(0)":41.02,"CNYA^FG_PRICE_MAVG(0,,,,30)":25.69144,"VNM^FMA_PCT_ABOVE_MAVG(200,0,,,,\"PORTAGG\")":54.1666666666667,"MCHI^FG_TOTAL_RETURNC(0,-3AM)":7.091892,"GREK^FG_TOTAL_RETURNC(0,-1AM)":5.4454923,"EWZ^PERCENT_CHANGE(FMA_EPS(+1,0,,,,\"PORTAGG\",\"MEAN\"),FMA_EPS(+1,-3AM,,,,\"PORTAGG\",\"MEAN\"))":-6.4854853924683,"EWJ^SIZE(FG_CONSTITUENTS)":204,"UAE^SIZE(FG_CONSTITUENTS)":43,"GREK^FMA_COS_DOWN(\"EPS\",\"1M\",+1,NOW,,,\"PORTAGG\",\"MEANR\")":8.0,"TRYSA10Y-FDS^FG_YIELD(0,,,,\"YTM\")":5.075296,"CNYA^FMA_PE(NTMA,0,,,\"PORTAGG\",\"MEANR\")":11.9711810989523,"EWZ^PERCENT_CHANGE(FMA_EPS(+1,0,,,,\"PORTAGG\",\"MEAN\"),FMA_EPS(+1,-1AM,,,,\"PORTAGG\",\"MEAN\"))":-1.70389497307298,"EPU^FG_TOTAL_RETURNC(0,-12AM)":30.46025,"FC0000ZA^FMA_EPS(NTMA,-20AY,0,CY,,\"PORTAGG\",\"MEANR\")":[21.1738585852974,23.7133706065956,27.6451629284564,34.5616321819067,25.2671072778123,27.8489815431612,37.9789630694542,35.9045018487394,33.8436615365372,28.3585622697464,25.4355494971776,19.9580367513956,24.0966328377552,27.7235772532822,26.7049155898813,31.8782513894411,34.3748784344418,36.8513185481351,38.6122872238503,33.9202192829757],"EWT^FG_TOTAL_RETURNC(-10AY,0,AM)":[2.4265766,0.6857753,-1.5479863,-6.5408826,4.9125195,-2.6646733,1.6129017,4.431212,1.773274,-1.8668294,5.3899884,-5.4151654,-1.3358772,-15.860737,5.593872,3.4107447,-3.0877173,-4.344678,-8.694911,8.205128,10.663509,-2.2127092,-9.197081,9.485531,8.957422,2.3584843,2.0408154,2.0645142,-5.3729415,1.4028072,2.237308,7.585752,2.0539641,-2.313006,6.150067,1.564312,5.2196145,-1.7077804,2.7578592,1.3687611,0.0,-3.8683832,10.0595,-2.7033985,1.164329,-2.1710634,-1.9251347,-1.7175615,1.6920924,-0.35461187,1.5329957,-9.733081,-1.9115865,-2.0629168,3.6561847,2.3824215,3.5055876,5.5182457,-8.384061,4.832375,2.967453,-3.8332462,6.1972737,3.9999962,5.6375146,5.1365256,0.99684,-3.1054437,-26.757765,22.42198,2.355218,7.200861,8.282841,4.617536,1.0699987,1.1910081,8.609414,5.455005,11.906147,4.054761,-3.1473756,8.132732,-5.422163,5.1613927,1.5507579,-5.1007566,6.6522956,-2.4731696,5.58213,0.12984276,3.2088041,-1.6821921,-4.491287,-7.1497145,-6.7700267,-3.2889843,-3.515476,3.3663392,-8.544058,-13.175535,17.273819,-0.72327256,6.040597,2.3754597,-1.8472612,1.7672777,2.8416753,6.25,-0.49536228,-6.40946,0.93085766,-1.6688645,6.8110824,3.6587954,0.4713297,4.299617,4.729879,-5.303502,11.529207,6.7869782,-2.3879468],"EWT^FMA_DIV_YLD(NTMA,-10AY,0,AM,\"PORTAGG\",\"MEANR\")":[3.15631724494546,3.26401120267627,3.32735343833486,3.68277485349182,3.44565368442261,3.4643541876202,3.54842433282164,3.41444117853771,3.40198973106438,3.60760214710347,3.68170062777432,3.88421597839693,4.00782296413407,4.43029963559293,4.20553658085194,4.10505299852471,4.13837615216161,4.23348815591709,4.57056253709617,4.31629668940777,4.06629356058917,4.28408209457186,4.56264778209754,4.22534343262884,4.04830132166769,4.07113723674045,4.04235029998717,3.98878758895416,4.23292194140792,4.19292087068715,4.23396953274919,4.0709110149792,4.081339718058,4.20169752986075,4.1077508648051,4.00618186739019,3.95145676434213,4.04693256016275,4.05020975583341,3.99642855348194,4.05183231669755,4.22017390705919,4.03135172876914,4.31142778466364,4.09568214772538,4.1884779069695,4.3557095784788,4.39350487884016,4.43902174502411,4.49279565856616,4.45204721456766,4.95013466315844,4.87059675526839,4.89591435653819,4.73446759034622,4.55044301541689,4.34415127867177,4.20250288498874,4.49311057374746,4.35402411883519,4.27498951062582,4.44584498104259,4.20853697367054,4.19406036150108,4.01877236289524,3.95833939344387,3.97782273421279,4.07028786301321,5.38863501583361,4.23712073368397,4.15139597546458,3.91749937063685,3.72899867617879,3.70535052321192,3.8120425246893,3.83980496734749,3.73965812260257,3.69874007998203,3.40484788754126,3.47248596126167,3.68086778695331,3.58430324025975,4.2124285307678,4.0263479734878,4.04642939489925,4.47235781645425,4.27744539233941,4.42281626975134,4.21113911179683,4.20420736642292,4.22724293071476,4.28689528061702,4.52466079829453,4.68026160248349,4.88697644580413,4.96082632972992,5.24014286815704,4.87591864832896,5.09370135139301,5.42296778142897,4.49514649785317,4.4627962959814,4.20915914736866,4.01731952989248,3.98793159994767,3.89307489347487,3.65459674098793,3.43788242304105,3.42139216990285,3.63061250542338,3.59784949416982,3.60632635966546,3.46230843957746,3.37996167141323,3.39674091224859,3.30475795180047,3.13248567205933,3.30583272785853,3.06420798925224,2.9725012521519,2.94207425638851],"EWW^FMA_PE(LTMA,-10AY,0,AM,\"PORTAGG\",\"MEANR\")":[null,null,null,null,null,null,null,null,null,null,null,null,null,null,null,null,null,null,22.1440370806053,24.0217453694675,24.7277604672983,24.6437399172595,24.1239233043834,23.1952442942501,23.0228706498152,22.9966348598499,21.6315120742918,22.4351199202436,20.6175924586172,20.3883914011467,20.4435892927347,21.5563714927453,21.4046719031598,20.9650809174069,20.5073416691002,20.1395675843136,19.945219815098,19.596448764895,19.2051412223441,18.6249693385882,16.9567006352221,17.0495742169634,17.3468242656093,17.8494757382631,17.8250293750616,17.7733823720771,17.1874054081599,17.1727051228489,17.5256218216833,17.0685936270302,17.2565672628192,16.4721692759461,14.972946284731,14.5939063211697,15.5685394964164,15.557924931537,15.39552469785,15.484427202199,15.1167270784936,14.9624672257529,14.6912191136083,14.2115762417225,15.0868689841428,15.2751804814867,15.4673644804109,15.8668122854572,16.4627156908284,16.4643852442744,14.5237533233439,14.5430268600418,15.8969057177882,17.7186667772192,18.3317318200928,20.7644579329948,19.6504892768171,20.3865559063726,23.5153302564345,31.8160610631625,31.9158197203173,28.3133505685187,26.7951430972366,25.6531133073052,24.4850419679635,23.430771870608,21.7100532138271,20.5519000846685,19.1908132400132,17.689122745363,16.2141641129959,15.654731648184,15.1078078656631,14.9773460602333,15.0899650598723,14.9907831756682,14.5124469869537,13.8609256402419,13.5971571719994,13.5805476438682,12.9849697543167,12.9599906298978,13.6827809106345,13.1145975732093,13.8668818110403,14.5960320478619,14.451889593909,14.3625897566653,14.0810480808141,13.7708782780714,13.3945090094699,13.1611732409603,12.8500418491014,12.0554632327675,12.9454131224723,14.1544882729187,13.5783213750837,14.6998497277028,15.6707317169163,15.3840439063028,15.2811314479924,14.4958590968061,14.2277656815293],"NI-FDS^FG_PRICE_CHANGE(0,-1AM)":-5.20894643908181,"FC0000IN^FG_PRICE(0)":1440.8695,"QAT^FG_PRICE(0)":16.95,"EWZ^FG_PRICE_MAVG(0,,,,30)":28.056334,"SET-BKK^P_PRICE(0)/P_PRICE_LOW_PR(0,,,,,,\"PRICE\",\"INTRA\",\"52W\")-1":0.027514458,"EWM^FMA_PCT_ABOVE_MAVG(200,0,,,,\"PORTAGG\")":63.6363636363636,"ECH^P_PRICE(0)/P_PRICE_HIGH_PR(0,,,,,,\"PRICE\",\"INTRA\",\"52W\")":0.81846535,"SPY^FG_TOTAL_RETURNC(0,-6AM)":14.521599,"SPY^PERCENT_CHANGE(FMA_EPS(+1,0,,,,\"PORTAGG\",\"MEAN\"),FMA_EPS(+1,-3AM,,,,\"PORTAGG\",\"MEAN\"))":0.334772265837307,"EWM^FMA_COS_UP(\"EPS\",\"1M\",+1,NOW,,,\"PORTAGG\",\"MEANR\")":10.0,"CNYA^FMA_COS_UP(\"EPS\",\"1M\",+1,NOW,,,\"PORTAGG\",\"MEANR\")":128.0,"EPHE^FMA_RBICS_REV_CURRENT(30, LOC, \"PORTAGG\")":41.2458075501667,"EWT^FG_ROE(0)":10.3459134176363,"REFVNDISC-FDS^PROPER_NAME(0,,,\"SECURITY\",\"NAME\")":"Vietnam Discount Rate","REFINREPO-FDS^FG_YIELD(NOW,,,0)":6.5,"REFTWDISC-FDS^(SUBARRAY(NOT_NA(NO_REPEAT_F(FG_YIELD(NOW,-10AY,D))),0,1)-SUBARRAY(NOT_NA(NO_REPEAT_F(FG_YIELD(NOW,-10AY,D))),1,1))*100":12.5,"REFIDRREPO-FDS^PROPER_NAME(0,,,\"SECURITY\",\"NAME\")":"Indonesia BI (Reverse) Repo Rate - 7 Day","TRYQA10Y-FDS^PCTCHG(FG_YIELD(0,,,,\"YTM\"),FG_YIELD(-3AM,,,,\"YTM\"))":null,"TRYTW10Y-FDS^PCTCHG(FG_YIELD(0,,,,\"YTM\"),FG_YIELD(-1AM,,,,\"YTM\"))":-0.87777245,"TRYZA10Y-FDS^FG_YIELD(0,,,,\"YTM\")":11.040422,"CC_BR^IMF_IFS_RCPI_Q(0)":null,"VWO^JULIAN(FMA_DIV_YLD(NTMA,NOW,NOW,M,\"PORTAGG\",\"MEANR\").DATES)":45443,"VNM^FG_FCF_YIELD_NTM(0)":1.74509092556622,"TUR^FMA_PE(LTM,0,,,\"PORTAGG\",\"MEANR\")":9.35683412009507,"MCHI^FMA_EVAL_EBITDA(NTMA,0,,,\"PORTAGG\",\"MEANR\")":8.39595750025532,"GREK^FMA_PE(NTMA,0,,,\"PORTAGG\",\"MEANR\")":7.1803885922018,"EWY^FMA_EVAL_EBIT(LTMA,NOW,NOW,M,\"PORTAGG\",\"MEANR\")":17.5116257748881,"EWT^FMA_DIV_YLD(NTMA,NOW,NOW,M,\"PORTAGG\",\"MEANR\")":2.9759201638879,"EPU^JULIAN(FMA_DIV_YLD(NTMA,NOW,NOW,M,\"PORTAGG\",\"MEANR\").DATES)":45471,"EIDO^FG_FCF_YIELD_NTM(0)":null,"EWT^FG_COMPANY_NAME":"iShares MSCI Taiwan ETF","VNM^FG_PRICE_MAVG(0,,,,200)":12.92075,"EWZ^FG_PRICE(0)":28.0,"EPOL^FG_PRICE_MAVG(0,,,,200)":22.66795,"CNYA^FG_PRICE(0)":25.88,"UAE^FG_TOTAL_RETURNC(0,-12AM)":-0.4089713,"EWW^FMA_PCT_ABOVE_MAVG(200,0,,,,\"PORTAGG\")":29.5454545454545,"EPHE^P_PRICE(0)/P_PRICE_HIGH_PR(0,,,,,,\"PRICE\",\"INTRA\",\"52W\")":0.91093695,"EWJ^FMA_COS_DOWN(\"EPS\",\"1M\",+1,NOW,,,\"PORTAGG\",\"MEANR\")":63.0,"UAE^FMA_COS_DOWN(\"EPS\",\"1M\",+1,NOW,,,\"PORTAGG\",\"MEANR\")":7.0,"REFINREPO-FDS^PROPER_NAME(0,,,\"SECURITY\",\"NAME\")":"India Repo Rate","CC_PE^FG_COMPANY_NAME":"Peru","USDTHB^STD(FG_PRICE_CHANGE(0,-1AY,AM))":2.08706140539876,"USDEUR^STD(FG_PRICE_CHANGE(0,-1AY,AM))":1.83493322365618,"USDPEN^STD(FG_PRICE_CHANGE(0,-1AY,AM))":2.25793918540914,"USDIDR^FG_COMPANY_NAME":"Indonesian Rupiah per U.S. Dollar","EWY^P_PRICE_RETURNS_PR('52W',2,-10AY,0,AM)":[19.885517,20.630718,0.5538821,-11.749506,-11.692762,-9.576863,-6.3290176,-5.292243,-1.5693784,-3.0418694,-7.6088486,-12.649345,-16.167486,-27.475649,-20.393068,-3.7881196,-4.6759844,-7.3113203,-14.814061,-14.328331,-7.9072237,-9.3714,-16.03297,-6.334609,4.305792,22.483194,14.1271,8.135593,2.215004,8.724344,21.477652,23.831345,18.697762,11.15836,38.30894,35.460114,32.651363,18.41452,27.252234,27.807463,47.2458,39.94447,42.451084,34.140278,25.772535,30.864847,14.816594,3.2916784,-4.9504876,-0.31349063,-2.1128356,-12.125522,-18.996483,-19.669384,-19.419039,-14.826012,-15.979773,-15.4082775,-23.37923,-12.341488,-10.357684,-18.265747,-13.454824,-3.6818087,2.6710272,8.874405,7.0317388,-1.9731283,-35.784702,-19.330042,-3.9689422,-1.2258291,6.597793,26.122416,18.475628,17.886364,25.502157,33.39188,45.764614,53.629124,129.66312,85.39221,74.74091,60.387505,50.22968,30.00164,26.032936,22.992218,5.948591,-1.7744005,-16.37569,-18.622541,-16.651768,-24.349112,-25.75673,-33.510445,-32.341164,-27.485012,-33.22307,-37.58831,-24.199509,-27.035433,-17.032385,-15.705853,-17.013395,-8.765906,-4.0890336,13.565075,15.732861,2.2591352,16.606987,17.862665,9.215164,14.580763,-2.1874547,7.191229,14.842308,0.9043217,10.607994,1.303649,-0.27382374],"EPU^FMA_PE(NTMA,-10AY,0,AM,\"PORTAGG\",\"MEANR\")":[14.5239967357745,13.6349362502704,13.3263259956638,12.1575138530307,12.0757053218389,12.2613872341701,12.5582121459658,13.2522173473668,12.5829166726792,12.1838625177633,13.2177984037524,13.9423059832671,12.8493209920303,11.2791908560433,11.3634821629682,7.95356438017978,7.87273624131774,7.30583113901386,10.401433776519,13.5263216512545,15.6329994083391,16.0849464430042,14.7363824482157,14.0697438389687,14.4361484834228,14.4673793152945,13.4966482228195,12.7151940919167,11.4716384611003,11.2464727072366,12.1010531924042,13.4655797606889,13.214772209906,11.8230906019023,12.007792518184,11.6781654043771,12.281586547078,12.9317477577759,12.9724340809405,13.2204402803162,12.7277031253839,12.4387277990695,14.2848228862126,13.2815173767912,13.4039569363136,14.1680006406953,13.4952712774455,13.6988009901015,13.1808253910558,13.4283440399409,12.8187128732693,12.8241317822276,13.3590285033783,13.0135883739078,14.6503471410212,15.9853105620102,15.7313455778938,14.8471684299111,13.0535405484165,13.2752670798703,14.9331511067327,14.2802223344261,14.0337968152836,13.8364766952678,13.7953036962335,14.9104735315916,14.7198817056571,14.7195105851537,10.0892117615383,11.8247854770358,15.9132919135172,19.5282744303132,19.5046385681064,22.881854026424,21.8643445735638,18.3511217189695,17.2875209102506,15.6606337945304,14.4839176265257,15.7328683071186,14.1070973845085,11.6390992181033,11.4225674914303,8.64615575066543,9.07853882034935,8.50912311206096,8.87907413791834,10.1556816864695,9.80898579638466,9.63620660744926,11.4907860896863,11.0342327955294,11.5300396028724,9.87008806573095,8.00369771588941,7.58271398342309,7.08194918298691,7.63533622075125,7.91362084486258,8.30600834282913,9.65796856663128,9.0272121702823,10.3797175624084,9.60747576324541,9.37285407771197,9.99716443328408,9.48926528557097,10.1732104717008,10.5585894755574,10.2466949942113,10.1541784198713,9.58124214572961,10.0713458850951,11.8337179672748,11.2169915574699,11.9521815793693,12.7433642693671,12.8871049984348,13.8929837323278,11.5805450345492,11.5339685123526],"WL-FDS^FG_PRICE_CHANGE(0,-1AY)":-19.9171352471145,"W-FDS^FG_PRICE_CHANGE(0,-6AM)":-8.51243152128107,"COPP-FDS^FG_PRICE_MAVG(0,,,,30)":4.4974,"REFAEREPO-FDS^(SUBARRAY(NOT_NA(NO_REPEAT_F(FG_YIELD(NOW,-10AY,D))),0,1)-SUBARRAY(NOT_NA(NO_REPEAT_F(FG_YIELD(NOW,-10AY,D))),1,1))*100":25.0,"TRYQA10Y-FDS^PCTCHG(FG_YIELD(0,,,,\"YTM\"),FG_YIELD(-1AM,,,,\"YTM\"))":null,"CAGDPY@GR^EE_ACTUAL_ANNUAL(MED,0)":-6.34898385694549,"USDMXN^STD(FG_PRICE_CHANGE(0,-3AY,M))":2.65381386437988,"FC0000BR^FMA_EPS(NTMA,-20AY,0,CY,,\"PORTAGG\",\"MEANR\")":[15.9634949001004,22.2696791655794,25.3174251708984,34.9736621173337,24.6574673527732,33.0231081589585,41.0114711872356,37.007882634304,30.1094290911466,25.6248810860719,21.0352241233002,13.1501919917959,17.125192658189,19.0183216245735,20.4219604225124,20.1300197155733,14.9311683589006,18.5635370348515,21.0634099869516,24.0472703068831],"EWM^FG_TOTAL_RETURNC(-10AY,0,AM)":[0.646317,1.564455,-4.5594573,-3.9380252,-0.5376339,-8.167678,-0.15026927,0.6019592,-2.3934186,4.9042106,-1.2417734,-8.505922,-0.3294289,-17.009037,3.8613796,2.4785519,-3.2558203,-1.2499928,-3.7237227,8.8275795,7.85805,5.522907,-10.801774,-0.62422156,5.623269,1.566267,-4.982209,0.7490516,-8.364307,-1.1156201,2.8828025,2.9166698,3.1713963,0.13080835,4.9640656,1.8668413,-2.0807505,0.6307125,2.8204322,-2.072537,0.34235716,3.196025,10.163617,1.5995502,-1.5743613,3.8274765,-5.4745493,-5.776179,0.9451866,0.99874735,0.77255964,-5.734438,-1.2687027,-4.501647,7.1629286,1.5072107,-0.48418045,-5.3519306,-2.5702536,5.484462,0.33944845,-5.6495247,0.5019784,-0.7492006,2.1567225,0.27017593,2.3066044,-7.3187647,-28.218561,22.992695,2.416277,7.2846293,7.4468136,-0.073343515,-4.146785,2.3736596,2.9169798,5.8502913,-4.39409,-0.861758,1.8471599,-1.6714096,-1.2658238,-0.4774809,-5.9984803,-0.36349297,3.8913608,5.189228,-6.6765547,-2.7066529,3.628683,4.478824,-0.038969517,-1.1305988,-5.4810762,-6.8102837,-1.4618516,4.126096,-4.140687,-6.223875,7.231295,4.5124054,5.31013,-4.4491587,-5.277157,3.2771468,-2.2212148,-3.9493382,2.8009772,0.047802925,0.9555578,-2.3663044,3.4900665,0.8430958,-0.69042444,1.8562555,2.4299145,-0.72992444,6.985295,-0.31858087,1.926446],"EWM^FMA_DIV_YLD(NTMA,-10AY,0,AM,\"PORTAGG\",\"MEANR\")":[3.16335676240878,3.14242652822371,3.19761773436609,3.32039955973404,3.22116009706927,3.38713131496128,3.33722156553257,3.20596989234648,3.2003902386808,3.11955202298514,3.16113049779294,3.25987452099177,3.26838939866335,3.56086360364261,3.32251854989881,3.23591111128928,3.32996441029046,3.32358663965764,3.3679724413229,3.19972556802895,3.06189376987345,3.07183885174224,3.20919715684633,3.11021324790033,2.99761054084539,2.94158559015759,2.98463717286118,2.9396107180635,3.03990726498964,3.025894128502,3.00649531464822,2.97325093281369,2.94845784079571,2.99874004529295,2.96295537193114,2.9996725755969,3.05817477001831,3.03402505619367,3.0219700608329,3.11205964557822,3.27652337705327,3.25259353539436,3.12012894246232,3.12739410808487,3.20514129346069,3.13606426985241,3.21354602640222,3.32163205706488,3.24275309504038,3.21645893118106,3.20186973362738,3.3665673889093,3.35981085255347,3.36060221095973,3.26177528153897,3.2477835335398,3.30959120840373,3.43011023912412,3.48138682310234,3.44784572697541,3.43796892750064,3.50717032690198,3.51908254709367,3.56058919570672,3.46092770489008,3.46666653283003,3.4776179405806,3.62601000503168,4.52292875254458,3.79158809559411,3.60281933054107,3.13691962550093,3.01159806566556,3.12971660515791,3.31059811467347,3.25717871763045,3.43728314990189,3.52123044183201,3.72088221404609,3.87956392645923,3.9631030470595,3.98914377984156,4.04395054664865,4.08307767919216,4.23789697128422,4.19982323563229,4.0275398182279,3.85784248026029,3.97893096477321,3.8899839430961,3.83051276222858,3.74794527755405,3.7968014489606,3.87392863070208,3.9976715367445,4.18764858043459,4.22904127619518,4.04489943102342,4.24044233133328,4.37216788328328,4.25464269602814,4.21930838588482,4.17606282827492,4.26347902490129,4.48792096505664,4.41675899380065,4.39199659111644,4.41759034542153,4.3917388668279,4.27812633795245,4.26898766317787,4.30900359670569,4.26794204992551,4.27034304974355,4.28556495841248,4.17048537082839,4.14764156143207,4.16672865767963,4.03328034577539,4.08081371564944,4.03305417177637],"EWT^FMA_PE(LTMA,-10AY,0,AM,\"PORTAGG\",\"MEANR\")":[15.3465668149565,14.9950268783631,14.7330379869136,13.7068439159322,14.0130668770047,13.6370688863282,13.7528343719015,14.2783421661859,14.2866893139286,14.0802549345719,14.0908296252009,13.7689706069436,13.5258066461957,12.6762086992742,12.9220025966423,12.8854245421859,12.7546332548895,12.2652654420964,11.292382162182,12.2807994802177,12.5142305246149,12.5324750808285,12.4194655833876,12.8953695169208,13.4269645373073,13.728119882528,14.094257068959,14.3828763489995,13.895854277079,14.2469948172613,14.2331400734094,14.6264871200497,14.5101951340024,14.2830686366711,14.3212356630889,14.4670135453462,14.7480309965459,14.6453591340962,14.5902528590451,14.7516545430664,14.858288878467,14.4221747480271,15.1019352475245,14.0742315816994,14.500114939854,14.4147122101326,14.2816818209931,14.2070991391342,14.0985793765888,13.9320476708704,13.7621237117195,12.7911940996043,12.6136086666548,12.6097438315585,12.9637385311436,13.6755954406759,14.1896596919262,14.4803165338837,14.3185080575007,14.7827544339869,15.0916202505188,14.8796453760213,15.5613235874202,15.9914724282506,16.8669876006789,17.4244753808276,17.6112043038852,17.1548815021592,15.6336308204511,16.3074927523135,16.517714734455,17.0852631303268,17.5779698747613,17.6382264956359,17.3204168187751,17.2160019214537,17.4146337579921,17.7361483000541,19.2926651198161,19.1931702602938,18.4201805700849,18.1118278099904,16.93207493472,16.6895124564701,16.2206290396853,14.7999531322252,14.6372680216528,13.713369859749,13.6160115634413,12.9330279171277,12.9203406904876,12.8077983389018,12.3298131455515,12.1221684755172,11.8910923986519,11.6617323609321,11.0509463174364,11.3814549744257,10.8667804511623,9.95287087491764,10.9044992160363,10.9442820356194,11.5900453140987,12.276135742131,12.6510170487812,13.1140207654658,13.9179264766266,14.8580328093313,15.6464329388002,15.7600702957212,16.3346768109883,16.4712321926532,17.2482601491919,18.3763129881792,18.8547882846319,19.5102031320581,19.8357190210487,19.4251222047094,19.796303016634,19.9648847481633,20.0239770503848],"WL-FDS^FG_PRICE_CHANGE(0,-6AM)":-18.4448462929476,"NI-FDS^FG_PRICE_MAVG(0,,,,30)":17030.5,"MCHI^FG_PRICE_MAVG(0,,,,200)":41.40935,"EWY^FG_PRICE_MAVG(0,,,,200)":63.2391,"UAE^P_PRICE(0)/P_PRICE_LOW_PR(0,,,,,,\"PRICE\",\"INTRA\",\"52W\")-1":0.07738769,"SET-BKK^P_PRICE(0)/P_PRICE_HIGH_PR(0,,,,,,\"PRICE\",\"INTRA\",\"52W\")":0.8339338,"EPU^P_PRICE(0)/P_PRICE_LOW_PR(0,,,,,,\"PRICE\",\"INTRA\",\"52W\")-1":0.4367776,"ECH^FG_TOTAL_RETURNC(0,-6AM)":4.9526334,"SPY^FG_TOTAL_RETURNC(0,-3AM)":11.229408,"SPY^PERCENT_CHANGE(FMA_EPS(+1,0,,,,\"PORTAGG\",\"MEAN\"),FMA_EPS(+1,-1AM,,,,\"PORTAGG\",\"MEAN\"))":-0.754335203117056,"UAE^FMA_COS_UP(\"EPS\",\"1M\",+1,NOW,,,\"PORTAGG\",\"MEANR\")":8.0,"EZA^SIZE(FG_CONSTITUENTS)":33,"USDSAR^STD(FG_PRICE_CHANGE(0,-3AY,M))":0.0432627336053464,"USDTHB^FG_PRICE_CHANGE(0,-6AM)":2.1324515,"USDEUR^FG_PRICE_CHANGE(0,-6AM)":-0.06428361,"USDPEN^FG_PRICE_CHANGE(0,-6AM)":0.108373165,"USDCLP^STD(FG_PRICE_CHANGE(0,-3AY,M))":4.48260961978952,"EWW^P_PRICE_RETURNS_PR('52W',2,-10AY,0,AM)":[7.133734,10.327792,5.605328,1.4640927,2.998829,-9.707522,-10.168666,-3.815186,-2.2693515,-6.966835,-8.870327,-12.485045,-16.235601,-24.156248,-24.180912,-15.008205,-16.023987,-12.511474,-21.077293,-16.814793,-8.641911,-7.674843,-15.714062,-15.370119,-8.832055,2.047491,-9.924995,-2.174294,-18.39621,-11.432838,-5.5644093,-2.7107418,-3.7520945,-3.8627744,6.8051934,13.110352,14.014959,8.248305,20.979273,1.954031,15.465069,14.734912,28.425873,15.764213,1.6335964,5.352521,-8.2862015,-15.22792,-10.290157,-9.334028,-5.6286693,-7.26496,-16.153961,-17.121822,-12.434405,-13.738548,-10.078102,-10.953533,-2.3574948,2.1285772,-12.718164,-19.736034,-13.127446,-3.9266527,10.939657,18.258453,9.678268,11.44315,-32.770042,-38.409424,-31.83288,-23.891264,-26.307858,-10.23115,-22.078842,-20.428926,-6.98238,-6.918401,-6.5970125,-10.944307,55.585693,66.59179,64.270874,48.708904,52.090622,44.735863,49.34238,46.12348,18.355488,15.140462,15.543056,22.453426,21.228813,17.450094,9.550524,-0.18716455,0.1855731,0.18798113,-3.450662,-5.015463,15.556669,6.3294888,16.25378,20.15711,9.915614,16.199802,24.417793,45.56445,44.005905,32.881798,34.173977,20.00439,19.712437,38.35442,18.933212,18.086647,23.788334,11.299812,13.139701,-9.281081,-6.20082],"EPOL^FMA_PE(NTMA,-10AY,0,AM,\"PORTAGG\",\"MEANR\")":[13.1628708402072,13.4379993564048,13.8102850732441,13.2871463321465,13.3568903449528,13.3593238311699,12.9530128207367,13.4466855737693,13.8448831655517,14.6864361891926,14.6250229667384,13.1761672828887,13.1774719615709,12.7020716460676,12.4376572200725,12.372652387868,11.8508329999796,11.9418634109131,11.7540296012815,13.0659168328538,13.4990758861871,13.2724694362554,11.8198817007541,11.5494351455481,11.6738957797305,12.161489390206,11.6305072615163,11.638322209219,11.217325686978,11.8135799473209,11.8703708099219,12.7806344595362,12.7590001173423,12.5273124848904,12.4111642355761,12.5056673768683,12.7328911002249,12.4707700050334,12.5162982210522,12.0834087142416,11.7850066070095,11.8811647164127,12.8276777910859,11.6770508966233,10.9485055072604,11.5430550391818,11.0864390485645,10.3240689386408,10.4200046739482,10.7323166398942,10.6849025117512,10.4356604641205,10.3556668776091,10.9203059846595,11.0652176341509,10.616558775612,11.2472492250905,11.2715579161568,10.2025090768732,10.7035983086936,10.7993279059935,9.68874012741329,9.98803049355545,9.90112108272874,10.1754703721969,10.1618779193039,10.5717929834379,10.7556911532977,8.08385282832582,10.6565415860334,11.9441776515523,13.0687697554352,12.4628728812645,12.8076145895403,11.6640740578863,11.2651057566689,13.4656104825479,13.4457447505586,13.7484749076467,11.12666615912,11.4188857470676,11.8603949457745,12.7070154141778,12.4912749891195,11.6495219981845,11.8174704867675,11.4559438611636,12.1284281618037,11.2373933349401,10.1231538951755,10.7452711484294,9.81999724489326,9.3489995979186,8.6245635174765,6.84494491665763,6.50397687624773,5.98711639841464,6.26621997040106,5.89507474112072,6.42083123890448,7.23371545070555,7.26750927610859,7.90541501928103,7.70793402209968,6.82326433965796,7.2464720115645,7.40222348479038,8.141149513748,8.75341712315869,8.06459844020556,7.97430676348809,8.3209334303202,8.33146963942178,8.56737180484189,8.04655201242696,9.07444088429165,9.13445568009213,8.69594615552052,9.05316999423842,8.87295621399466,8.69907980138946],"NI-FDS^FG_PRICE(0)":16105.0,"W-FDS^FG_PRICE_CHANGE(0,-3AM)":-1.36301681054066,"COPP-FDS^FG_PRICE(0)":4.219,"VNM^FG_PRICE_MAVG(0,,,,60)":12.541,"EWY^FG_PRICE_MAVG(0,,,,30)":66.139,"EPOL^FG_PRICE_MAVG(0,,,,60)":24.568666,"KSA^FG_TOTAL_RETURNC(0,-12AM)":2.3836136,"SET-BKK^FG_TOTAL_RETURNC(0,-6AM)":-4.728359,"MCHI^PERCENT_CHANGE(FMA_EPS(+1,0,,,,\"PORTAGG\",\"MEAN\"),FMA_EPS(+1,-3AM,,,,\"PORTAGG\",\"MEAN\"))":0.450964201707759,"GREK^PERCENT_CHANGE(FMA_EPS(+1,0,,,,\"PORTAGG\",\"MEAN\"),FMA_EPS(+1,-1AM,,,,\"PORTAGG\",\"MEAN\"))":5.06110003806115,"EWZ^FMA_PCT_ABOVE_MAVG(200,0,,,,\"PORTAGG\")":48.9795918367347,"EWT^FG_TOTAL_RETURNC(0,-12AM)":24.253643,"EPHE^FG_TOTAL_RETURNC(0,-6AM)":-1.254034,"SPY^FMA_PCT_ABOVE_MAVG(200,0,,,,\"PORTAGG\")":74.251497005988,"EWJ^FMA_COS_UP(\"EPS\",\"1M\",+1,NOW,,,\"PORTAGG\",\"MEANR\")":108.0,"TUR^SIZE(FG_CONSTITUENTS)":97,"TRYMY10Y-FDS^PCTCHG(FG_YIELD(0,,,,\"YTM\"),FG_YIELD(-1AM,,,,\"YTM\"))":-1.5650017,"CNYA^JULIAN(FMA_DIV_YLD(NTMA,NOW,NOW,M,\"PORTAGG\",\"MEANR\").DATES)":45471,"EWT^FMA_PE(LTM,0,,,\"PORTAGG\",\"MEANR\")":23.2186887200912,"EIDO^FMA_PE(LTM,0,,,\"PORTAGG\",\"MEANR\")":15.87200654102,"USDMXN^STD(FG_PRICE_CHANGE(0,-1AY,AM))":4.51610061550659,"FC0000KR^FMA_EPS(NTMA,-20AY,0,CY,,\"PORTAGG\",\"MEANR\")":[25.662347195809,29.7949627913341,31.2503748053754,35.671095666108,19.0450116297318,29.9539754539252,37.906953014038,39.1650245409456,44.428480693782,44.151808890174,37.5299107205561,33.45961264389,36.5379279291672,53.6332908559232,45.9241136881632,35.8902111252676,42.7006678211396,51.191917667837,35.2540555702774,41.551626905258],"EPOL^P_PRICE_RETURNS_PR('52W',2,-10AY,0,AM)":[16.050863,8.006668,4.1806936,-9.925175,-11.191999,-12.511433,-20.318491,-18.794436,-17.236006,-14.472026,-9.282231,-21.567642,-18.68239,-21.59497,-22.472841,-17.405254,-25.582588,-26.448286,-27.427315,-22.410572,-13.927078,-18.583637,-31.354177,-26.886797,-22.446358,-14.728707,-15.279734,-16.105043,-14.254928,0.7051945,22.32349,19.470156,16.894627,14.82991,42.608418,44.06593,50.488724,38.021614,54.401527,53.7266,63.095116,53.46613,56.55789,31.762087,14.871634,21.41031,1.9570708,-7.023418,-10.876751,-7.015461,-11.987841,-15.109319,-15.12,-11.420888,-16.983635,-14.73226,-4.942828,-9.599155,-8.838898,8.111811,7.0153356,-9.101373,-8.64979,-1.8586457,-0.7708013,-8.043581,-7.8453064,-11.78267,-43.9389,-35.62659,-28.610468,-24.760973,-23.153358,-8.209955,-17.36483,-25.452984,-17.734993,-6.3808737,-9.278387,0.2596259,43.694294,32.37506,44.366013,26.71684,22.461521,18.751204,31.43637,54.565193,21.102238,3.9955497,15.502632,4.3375373,2.894926,-5.0970373,-25.201511,-30.69936,-32.05269,-35.025616,-43.198853,-52.688442,-30.399483,-24.130308,-22.907835,-20.569874,-21.893597,-4.0112495,18.16814,39.695526,53.179478,39.957737,40.760292,74.56783,51.02204,57.97297,32.27627,47.042393,62.97953,40.54712,50.26088,27.583838,21.956121],"EPU^FG_TOTAL_RETURNC(-10AY,0,AM)":[2.3492813,1.1064887,-1.4837325,-7.0594788,-1.7045438,-3.0344486,-4.555684,0.6935239,-6.5267267,3.6491275,3.7914634,-2.801931,-4.832715,-17.471594,-1.3769329,2.1378756,-5.52299,-8.587927,-10.185253,18.323147,22.618484,16.035212,-2.3087025,1.1141062,10.804951,7.792604,-7.707447,0.944829,-2.8381586,-0.65258145,6.2716126,5.2243233,-5.6662025,0.20815134,3.6498547,-2.9773831,5.4633737,3.5897493,5.500555,7.794571,-1.3059199,-3.8068116,12.931717,-3.4950554,-1.7155111,8.9697,-5.40601,-4.034543,-3.216225,-4.984665,-2.2598743,-1.4863789,0.44704676,-2.5705159,4.961288,5.273223,2.6472926,-2.5537252,-7.4727592,2.4702668,5.380547,-11.8783,3.782642,0.0,0.4339099,3.346026,3.825605,-6.231374,-35.885586,11.987376,7.042253,8.860326,1.6046405,7.2322607,-2.637142,-2.0902634,6.423259,11.2157345,1.2636423,8.28135,-6.4169765,-3.7223577,-2.587217,-14.533859,-1.9718289,-14.044541,11.993313,13.3582115,-3.1682014,-2.1065712,21.222889,1.2316823,6.5179586,-5.384821,-15.176779,-2.1426916,-10.017956,4.2298555,-0.84227324,-2.9343665,14.797139,-2.4727762,13.449025,-5.6724014,-3.5810769,10.6166725,-4.086155,6.3061476,4.6138644,-5.5353165,0.70807934,-6.6794515,5.199313,12.858176,-1.9998312,5.3550243,9.500504,4.2979956,10.139858,-6.3125668,1.7234921],"EPU^FMA_DIV_YLD(NTMA,-10AY,0,AM,\"PORTAGG\",\"MEANR\")":[2.23530259538195,2.16064045769389,2.14754039493854,2.30137152757176,2.26402139044502,2.17252271993088,2.26731739626595,2.158994161011,2.34912491024735,2.24344063269265,1.92348249006184,2.0332659224264,2.03385372270408,2.32577582536063,2.50462332980405,2.555240434217,2.28818180124143,2.75456909060969,2.9800675810191,2.52290083575503,2.0934778907672,1.89086061837135,1.75378990204835,1.81172205445333,1.72307716364802,1.40860649508291,1.54412453568345,1.54308151939514,1.97437753366867,2.22603425258207,2.23085811393515,1.98198162334293,2.13758722802807,2.09951504249684,2.20918219022645,2.28564675059628,2.25829963197409,2.24983596107822,2.25793118843143,2.40353307248614,2.70685480445346,2.84996909732651,2.56584744941528,2.51930944419881,2.22418601658337,2.0828718319635,4.6945559600009,1.9626016291184,2.11735452164766,4.41231343634928,2.45105169099396,2.41196238279644,2.23846010668434,2.40018485102789,2.29809489770744,2.17752560136634,2.22785798748993,2.33484908227307,2.7071059777388,2.71050195458979,2.6537497501688,2.9624293497009,2.9874049493745,3.03771668245024,2.94626797486444,2.64622702915005,2.61665182681431,2.94946350401097,4.51368696745698,4.00065764549678,3.1798565759518,3.13767163882019,3.02379073299739,2.50839333315515,2.5785738323651,2.64093874182514,2.19324214199601,1.71679142746658,1.69893858193854,1.71134595871896,2.02505115815126,2.20141911914692,2.33686643245785,2.90600066769239,3.07049696570813,3.75678718981559,3.65443991922084,3.44865872983946,3.78822477316094,4.26955808968037,3.53571226422654,3.44376375206005,3.55529061383776,3.8449750586546,4.59514448849247,5.0126040750266,5.23941918789989,5.26645422777705,4.94060610165921,5.19186703667139,3.81985416263642,3.95220590746391,3.60095442839292,4.20756585703112,4.80218369390156,4.62574056472054,5.05746172588763,4.88423630320489,4.57080620600375,4.66479468850364,4.86295292469204,5.16024157913032,4.33592544617546,3.73609715106604,3.55472476177202,3.72223542202051,3.50562987821217,3.41644209946296,3.40198497779085,4.06515162063739,4.02158491169151],"EWM^FMA_PE(LTMA,-10AY,0,AM,\"PORTAGG\",\"MEANR\")":[16.6769401926446,16.7633860533298,16.7825669906832,16.3220444486577,16.5462124128176,15.9731622584369,16.1723007875636,16.5603148608739,17.021712146916,17.0357761151195,16.8922037727703,16.6167606658179,16.6086089496158,15.7043459586257,16.4309287502317,16.842360729577,16.3861550913597,16.4243155559563,16.1566643748692,16.6628164330219,16.672641348236,16.6484663354089,16.3937633622417,16.5492480107879,16.8463387000889,17.0432805645643,17.063015896251,17.3463249230078,17.0029012884874,16.9800465925681,17.1964597544298,17.2845178169441,17.1205544343166,17.1314475682251,17.2848505780122,17.2749636767566,17.1652630233798,17.3471186722232,17.53508178467,17.3601282777593,17.1563321373947,17.7548212445043,18.6107229861185,18.5014942934472,18.4527702183566,18.3929888701767,18.1361551352909,17.6896237487286,17.7251350011665,17.7965788696396,17.7477832804886,17.0035961525623,16.8147168744809,16.618457098114,16.9674077438565,17.1532296132643,17.0627407882642,16.8654058827969,16.7301500169625,17.1767949356179,17.1637125494707,16.8222289764391,16.8709682225725,16.6438120134496,16.9287880898782,17.0856070452203,17.0203790525232,16.384825956751,15.8154726181362,16.4974787939339,16.8352496567487,18.485291061397,19.5425043495802,19.7088512212249,19.9202794109049,20.7543207050986,20.7361632426825,21.3519796441066,20.4912611099124,19.293794271826,19.518565739249,18.8899686309855,18.2013613249109,17.6880989009581,16.8291928214957,16.0846539873822,15.8927665603951,15.6831583984966,14.5639394119246,15.0916243126666,15.1523390215172,15.7854194389462,15.913844236274,15.8117757131877,15.6233352196541,15.1885317731594,14.9672840054716,15.302533839148,14.8746023192905,14.5138720278119,14.6639002601583,14.8372081310193,14.9839947592408,14.6702238542543,14.7369647231037,14.6311801588193,14.5493944383246,14.5427356785689,14.5792690304411,14.7379483151541,14.9519753766115,14.8575338964745,14.9743519088648,15.2550227782999,15.2241818594928,15.5497020186247,15.7472205566897,15.605171460216,15.6821589669866,15.4481057122154,15.5091762101181],"WL-FDS^FG_PRICE_CHANGE(0,-3AM)":-3.95740905057674,"PLATI-FDS^MAX(FG_PRICE(0,-5AY))":1272.59,"MCHI^FG_PRICE_MAVG(0,,,,60)":43.8205,"UAE^P_PRICE(0)/P_PRICE_HIGH_PR(0,,,,,,\"PRICE\",\"INTRA\",\"52W\")":0.90977484,"SET-BKK^FG_TOTAL_RETURNC(0,-3AM)":-1.1215508,"EWY^FG_TOTAL_RETURNC(0,-12AM)":-0.27382374,"EPU^FG_TOTAL_RETURNC(0,-6AM)":26.297401,"ECH^FG_TOTAL_RETURNC(0,-3AM)":2.5537252,"EWJ^P_PRICE(0)/P_PRICE_LOW_PR(0,,,,,,\"PRICE\",\"INTRA\",\"52W\")-1":0.22307694,"EZA^FMA_COS_DOWN(\"EPS\",\"1M\",+1,NOW,,,\"PORTAGG\",\"MEANR\")":17.0,"EPU^FMA_COS_DOWN(\"EPS\",\"1M\",+1,NOW,,,\"PORTAGG\",\"MEANR\")":3.0,"VNM^FMA_RBICS_REV_CURRENT(30, LOC, \"PORTAGG\")":54.5054539765416,"ECH^FMA_RBICS_REV_CURRENT(30, LOC, \"PORTAGG\")":33.0319854376697,"EPU^FG_ROE(0)":9.86078518270581,"REFAEREPO-FDS^FG_YIELD(NOW,,,0)":5.4,"REFEUREFI-FDS^(SUBARRAY(NOT_NA(NO_REPEAT_F(FG_YIELD(NOW,-10AY,D))),0,1)-SUBARRAY(NOT_NA(NO_REPEAT_F(FG_YIELD(NOW,-10AY,D))),1,1))*100":-25.0,"REFTWDISC-FDS^PROPER_NAME(0,,,\"SECURITY\",\"NAME\")":"Taiwan China Discount Rate","REFCLMPR-FDS^FG_YIELD(NOW,,,0)":5.75,"TRYPE10Y-FDS^PCTCHG(FG_YIELD(0,,,,\"YTM\"),FG_YIELD(-3AM,,,,\"YTM\"))":-6.8239484,"TRYBR10Y-FDS^FG_YIELD(0,,,,\"YTM\")":12.276152,"CC_MX^IMF_IFS_RCPI_Q(0)":null,"VGK^FMA_EVAL_EBITDA(NTMA,0,,,\"PORTAGG\",\"MEANR\")":8.96001060085994,"VNM^FMA_PE(NTMA,0,,,\"PORTAGG\",\"MEANR\")":14.1338767875171,"SET-BKK^FMA_EVAL_EBIT(LTMA,NOW,NOW,M,\"PORTAGG\",\"MEANR\")":18.1535947991314,"MCHI^FMA_DIV_YLD(NTMA,NOW,NOW,M,\"PORTAGG\",\"MEANR\")":2.95568682303138,"GREK^JULIAN(FMA_DIV_YLD(NTMA,NOW,NOW,M,\"PORTAGG\",\"MEANR\").DATES)":45471,"EWY^FG_FCF_YIELD_NTM(0)":5.59274793595943,"EPOL^FMA_EVAL_EBITDA(NTMA,0,,,\"PORTAGG\",\"MEANR\")":4.76022092837631,"EIDO^FMA_PE(NTMA,0,,,\"PORTAGG\",\"MEANR\")":12.3073397143557,"CC_US^IMF_IFS_RCPI_Q(0)":null,"EPU^FG_COMPANY_NAME":"iShares MSCI Peru and Global Exposure ETF","USDTHB^FG_PRICE_CHANGE(0,-1AY)":6.580484,"USDEUR^FG_PRICE_CHANGE(0,-1AY)":2.7639985,"USDCLP^STD(FG_PRICE_CHANGE(0,-1AY,AM))":4.45845664421339,"FC0000TW^FMA_EPS(NTMA,-20AY,0,CY,,\"PORTAGG\",\"MEANR\")":[9.12031426379573,8.9303476254386,10.2763772347485,12.3642519570992,4.81199406443955,7.91488615207717,11.8918959542291,8.78728433127933,9.24807829331148,10.3356087291291,11.5748258148764,10.8182747076803,11.1314122132999,13.6882434720029,12.8934590818377,12.9786240269014,15.9425104030346,24.3051164384369,19.7601608656572,19.098317327142],"EPHE^FMA_PE(NTMA,-10AY,0,AM,\"PORTAGG\",\"MEANR\")":[17.2931834133295,17.6304281061089,17.8517432689903,16.9901775194127,17.6772030999257,17.0049549483824,17.7955309724831,18.278119354622,18.2126822517662,18.3149461438074,18.2929155093061,17.4994736170512,17.6377352064297,17.1519228214395,16.7539658963679,16.6485679991163,15.7082186568261,16.0091762181351,14.7202007215004,15.4977660349177,16.6966095141735,16.5881253328724,16.369483088558,17.1772745442876,17.9867165533774,18.1437706837035,16.9928796563512,17.1064077408951,15.6750338745644,15.0243892914539,16.6629903767775,16.5702675575862,16.9618716545775,17.167237967323,17.197596051806,17.7412780193824,16.8795379546622,16.5463325916675,17.0432079313114,18.1411513685566,17.4621163073975,17.2609698547991,18.1386841652769,17.2563602100785,16.7361835054636,15.5155331885812,15.9244370465379,15.2900259409195,15.0594815402204,15.3281408252789,13.9323009279413,13.9008268632101,13.9664673898719,15.0407906918794,15.8583853877578,15.1623427240523,15.1049439138844,15.1253483193641,14.7907477957659,15.4750806785783,15.7792089326302,14.7144817014089,13.9348762437775,13.8568956305203,13.7842676764797,13.8150275313143,13.7289716553796,13.177142610557,8.47901641240829,11.4917876882462,13.0420103942478,15.7230832029972,15.2827107099947,16.2469966990174,15.8195396768951,15.8597232269095,17.7235980505549,16.9528066473462,16.7351687675774,15.7703353045874,14.9120870776805,14.7589401710955,14.6367139884899,16.2847616733544,15.3390495193578,15.3796008871332,15.7551736666231,16.7273009639791,16.082877520096,15.5604807924772,15.1715207161117,15.33059762436,14.4255732345078,14.2983925515443,12.9755871720693,12.873465898159,12.6445244695562,13.2891405610475,12.4367270923099,11.8462222685249,12.0327862229663,12.1335928819101,13.442127897645,12.6271238452424,11.5811052439431,11.3090165588176,11.3070832293204,10.228604085975,10.2144618595876,9.54042311925933,9.50388303383029,9.75576828747789,9.58614091244,9.41836830907597,9.37810662650893,9.8503361740693,10.0004031376539,8.80784117728049,8.8857602207273,8.74949369878009,9.47144542633203],"PLATI-FDS^FG_PRICE_CHANGE(0,-1AY)":1.01010101010102,"W-FDS^FG_PRICE_CHANGE(0,-1AM)":-6.74398625429553,"TIOS-FDS^MAX(FG_PRICE(0,-5AY))":219.77,"VNM^FG_PRICE_MAVG(0,,,,30)":12.466666,"EWY^FG_PRICE(0)":65.23,"EPOL^FG_PRICE_MAVG(0,,,,30)":24.319,"KSA^P_PRICE(0)/P_PRICE_LOW_PR(0,,,,,,\"PRICE\",\"INTRA\",\"52W\")-1":0.16100526,"SET-BKK^PERCENT_CHANGE(FMA_EPS(+1,0,,,,\"PORTAGG\",\"MEAN\"),FMA_EPS(+1,-3AM,,,,\"PORTAGG\",\"MEAN\"))":-2.1399764920132,"MCHI^PERCENT_CHANGE(FMA_EPS(+1,0,,,,\"PORTAGG\",\"MEAN\"),FMA_EPS(+1,-1AM,,,,\"PORTAGG\",\"MEAN\"))":-0.964030127852875,"GREK^FMA_PCT_ABOVE_MAVG(200,0,,,,\"PORTAGG\")":72.4137931034483,"EWT^P_PRICE(0)/P_PRICE_LOW_PR(0,,,,,,\"PRICE\",\"INTRA\",\"52W\")-1":0.26148367,"EPHE^FG_TOTAL_RETURNC(0,-3AM)":4.9165845,"EWJ^PERCENT_CHANGE(FMA_EPS(+1,0,,,,\"PORTAGG\",\"MEAN\"),FMA_EPS(+1,-3AM,,,,\"PORTAGG\",\"MEAN\"))":-2.88571168116345,"URTH^SIZE(FG_CONSTITUENTS)":1430,"TUR^FMA_COS_DOWN(\"EPS\",\"1M\",+1,NOW,,,\"PORTAGG\",\"MEANR\")":16.0,"REFCLMPR-FDS^PROPER_NAME(0,,,\"SECURITY\",\"NAME\")":"Chile Monetary Policy Rate","EPOL^FG_COMPANY_NAME":"iShares MSCI Poland ETF","EPOL^FG_PRICE(0)":24.39,"SET-BKK^PERCENT_CHANGE(FMA_EPS(+1,0,,,,\"PORTAGG\",\"MEAN\"),FMA_EPS(+1,-1AM,,,,\"PORTAGG\",\"MEAN\"))":-0.739174073145748,"MCHI^FMA_PCT_ABOVE_MAVG(200,0,,,,\"PORTAGG\")":44.3759630200308,"KSA^P_PRICE(0)/P_PRICE_HIGH_PR(0,,,,,,\"PRICE\",\"INTRA\",\"52W\")":0.93225414,"MCHI^FG_COMPANY_NAME":"iShares MSCI China ETF","EZA^FG_TOTAL_RETURNC(0,-12AM)":3.7487507,"INDA^FMA_DIV_YLD(NTMA,NOW,NOW,M,\"PORTAGG\",\"MEANR\")":1.27007114341875,"EWM^FG_COMPANY_NAME":"iShares MSCI Malaysia ETF","EPHE^FG_TOTAL_RETURNC(0,-1AM)":6.586075,"EIDO^FMA_DIV_YLD(NTMA,NOW,NOW,M,\"PORTAGG\",\"MEANR\")":4.48599499523553,"EWT^FG_TOTAL_RETURNC(0,-6AM)":20.253456,"EWZ^FMA_EVAL_EBIT(LTMA,NOW,NOW,M,\"PORTAGG\",\"MEANR\")":6.66816958098087,"UAE^FMA_PE(NTMA,0,,,\"PORTAGG\",\"MEANR\")":8.81354780959394,"INDA^FMA_PE(NTMA,0,,,\"PORTAGG\",\"MEANR\")":24.1909581601823,"QAT^FMA_EVAL_EBIT(LTMA,NOW,NOW,M,\"PORTAGG\",\"MEANR\")":15.1413897342729,"ECH^FMA_PE(NTMA,0,,,\"PORTAGG\",\"MEANR\")":7.84139615104185,"EWJ^FG_TOTAL_RETURNC(0,-6AM)":6.954241,"EWJ^PERCENT_CHANGE(FMA_EPS(+1,0,,,,\"PORTAGG\",\"MEAN\"),FMA_EPS(+1,-1AM,,,,\"PORTAGG\",\"MEAN\"))":-0.119033261349642,"URTH^FMA_COS_UP(\"EPS\",\"1M\",+1,NOW,,,\"PORTAGG\",\"MEANR\")":524.0,"EWY^FMA_EVAL_EBITDA(NTMA,0,,,\"PORTAGG\",\"MEANR\")":6.20179436272305,"EWW^FMA_DIV_YLD(NTMA,NOW,NOW,M,\"PORTAGG\",\"MEANR\")":4.57737692983282,"EPHE^FG_FCF_YIELD_NTM(0)":6.98302377286273,"EWT^FMA_PE(NTMA,0,,,\"PORTAGG\",\"MEANR\")":18.2486520213211,"EWM^JULIAN(FMA_DIV_YLD(NTMA,NOW,NOW,M,\"PORTAGG\",\"MEANR\").DATES)":45471,"EPOL^FMA_EVAL_EBIT(LTMA,NOW,NOW,M,\"PORTAGG\",\"MEANR\")":8.44001882033532,"REFMYON-FDS^FG_YIELD(NOW,,,0)":3.0,"EPOL^FMA_DIV_YLD(NTMA,NOW,NOW,M,\"PORTAGG\",\"MEANR\")":4.98022050642426,"EIDO^JULIAN(FMA_DIV_YLD(NTMA,NOW,NOW,M,\"PORTAGG\",\"MEANR\").DATES)":45471,"DUMMY^ECON_DATE(45373,,, 'MM/YYYY')":"03/2024","DUMMY^ECON_DATE(45465,,, 'MM/YYYY')":"06/2024","CC_SA^IMF_IFS_RCPI_Q(-1AM)":1.6709557,"CC_IN^IMF_IFS_RCPI_Q(-1AM)":5.014141,"CC_CN^IMF_IFS_RCPI_Q(-1AM)":-0.032185,"CC_QA^IMF_IFS_RCPI_Q(-1AM)":null,"CC_TH^IMF_IFS_RCPI_Q(-1AM)":-0.78397644,"CC_TR^IMF_IFS_RCPI_Q(-1AM)":66.839935,"CC_AE^IMF_IFS_RCPI_Q(-1AM)":null,"CC_BR^IMF_IFS_RCPI_Q(-1AM)":4.3081307,"CC_ZA^IMF_IFS_RCPI_Q(-1AM)":5.4170475,"CC_CL^IMF_IFS_RCPI_Q(-1AM)":4.041295,"CC_ID^IMF_IFS_RCPI_Q(-1AM)":null,"CC_PH^IMF_IFS_RCPI_Q(-1AM)":3.2976058,"CC_PL^IMF_IFS_RCPI_Q(-1AM)":3.0462575,"CC_PE^IMF_IFS_RCPI_Q(-1AM)":2.8496776,"CC_MY^IMF_IFS_RCPI_Q(-1AM)":1.6700923,"CC_TW^IMF_IFS_RCPI_Q(-1AM)":null,"CC_MX^IMF_IFS_RCPI_Q(-1AM)":4.567828,"CC_US^IMF_IFS_RCPI_Q(-1AM)":3.241016,"DUMMY^ECON_EXPR_DATA('FDS_ECON[NTCPMIMFGSA@CN]',06/2024,,Q)":51.64454,"DUMMY^ECON_EXPR_DATA('FDS_ECON[NTCPMIMFGSA@CN]',03/2024,,Q)":50.938282,"DUMMY^ECON_EXPR_DATA('FDS_ECON[NTCPMIMFGSA@CL]',06/2024,,Q)":null,"DUMMY^ECON_EXPR_DATA('FDS_ECON[NTCPMIMFGSA@CL]',03/2024,,Q)":null,"DUMMY^ECON_EXPR_DATA('FDS_ECON[NTCPMIMFGSA@ID]',06/2024,,Q)":51.87755,"DUMMY^ECON_EXPR_DATA('FDS_ECON[NTCPMIMFGSA@ID]',03/2024,,Q)":53.247562,"DUMMY^ECON_EXPR_DATA('FDS_ECON[NTCPMIPHMANHE]',06/2024,,Q)":51.78043,"DUMMY^ECON_EXPR_DATA('FDS_ECON[NTCPMIPHMANHE]',03/2024,,Q)":50.931423,"DUMMY^ECON_EXPR_DATA('FDS_ECON[NTCPMIMFGSA@PL]',06/2024,,Q)":45.313137,"DUMMY^ECON_EXPR_DATA('FDS_ECON[NTCPMIMFGSA@PL]',03/2024,,Q)":47.64948,"DUMMY^ECON_EXPR_DATA('FDS_ECON[NTCPMIMFGSA@PE]',06/2024,,Q)":null,"DUMMY^ECON_EXPR_DATA('FDS_ECON[NTCPMIMFGSA@PE]',03/2024,,Q)":null,"DUMMY^ECON_EXPR_DATA('FDS_ECON[PMIMYMANHE]',06/2024,,Q)":49.6697,"DUMMY^ECON_EXPR_DATA('FDS_ECON[PMIMYMANHE]',03/2024,,Q)":48.94971,"DUMMY^ECON_EXPR_DATA('FDS_ECON[NTCPMIMFGSA@TW]',06/2024,,Q)":51.410824,"DUMMY^ECON_EXPR_DATA('FDS_ECON[NTCPMIMFGSA@TW]',03/2024,,Q)":48.895138,"DUMMY^ECON_EXPR_DATA('FDS_ECON[NTCPMIMFGSA@MX]',06/2024,,Q)":51.090343,"DUMMY^ECON_EXPR_DATA('FDS_ECON[NTCPMIMFGSA@MX]',03/2024,,Q)":51.565502,"DUMMY^ECON_EXPR_DATA('FDS_ECON[NTCPMIMFGSA@KR]',06/2024,,Q)":51.02443,"DUMMY^ECON_EXPR_DATA('FDS_ECON[NTCPMIMFGSA@KR]',03/2024,,Q)":50.57622,"DUMMY^ECON_EXPR_DATA('FDS_ECON[NTCPMIMFGSA@BR]',06/2024,,Q)":53.488384,"DUMMY^ECON_EXPR_DATA('FDS_ECON[NTCPMIMFGSA@BR]',03/2024,,Q)":53.509575,"DUMMY^ECON_EXPR_DATA('FDS_ECON[PMIMFGSA@ZA]',06/2024,,Q)":49.992886,"DUMMY^ECON_EXPR_DATA('FDS_ECON[PMIMFGSA@ZA]',03/2024,,Q)":49.458923,"DUMMY^ECON_EXPR_DATA('FDS_ECON[NTCPMIMFGSA@GR]',06/2024,,Q)":54.69078,"DUMMY^ECON_EXPR_DATA('FDS_ECON[NTCPMIMFGSA@GR]',03/2024,,Q)":55.77546,"DUMMY^ECON_EXPR_DATA('FDS_ECON[NTCPMIMFGSA@IN]',06/2024,,Q)":58.243446,"DUMMY^ECON_EXPR_DATA('FDS_ECON[NTCPMIMFGSA@IN]',03/2024,,Q)":57.516636,"DUMMY^ECON_EXPR_DATA('FDS_ECON[PMIQAWHEHE]',06/2024,,Q)":53.838383,"DUMMY^ECON_EXPR_DATA('FDS_ECON[PMIQAWHEHE]',03/2024,,Q)":50.683044,"DUMMY^ECON_EXPR_DATA('FDS_ECON[NTCPMITHMANHE]',06/2024,,Q)":50.221676,"DUMMY^ECON_EXPR_DATA('FDS_ECON[NTCPMITHMANHE]',03/2024,,Q)":47.04389,"DUMMY^ECON_EXPR_DATA('FDS_ECON[NTCPMIMFGSA@TR]',06/2024,,Q)":48.55242,"DUMMY^ECON_EXPR_DATA('FDS_ECON[NTCPMIMFGSA@TR]',03/2024,,Q)":49.822453,"DUMMY^ECON_EXPR_DATA('FDS_ECON[NTCPMIMFGSA@AE]',06/2024,,Q)":null,"DUMMY^ECON_EXPR_DATA('FDS_ECON[NTCPMIMFGSA@AE]',03/2024,,Q)":null,"DUMMY^ECON_EXPR_DATA('FDS_ECON[NTCPMIMFGSA@VN]',06/2024,,Q)":51.776978,"DUMMY^ECON_EXPR_DATA('FDS_ECON[NTCPMIMFGSA@VN]',03/2024,,Q)":50.18627,"DUMMY^ECON_EXPR_DATA('FDS_ECON[NTCPMIINDEXSA@SA]',06/2024,,Q)":56.14742,"DUMMY^ECON_EXPR_DATA('FDS_ECON[NTCPMIINDEXSA@SA]',03/2024,,Q)":56.53707,"DUMMY^ECON_EXPR_DATA('FDS_ECON[PMIDMMANHE]',06/2024,,Q)":49.41843,"DUMMY^ECON_EXPR_DATA('FDS_ECON[PMIDMMANHE]',03/2024,,Q)":49.135437,"DUMMY^ECON_EXPR_DATA('FDS_ECON[NTCPMIMFGSA@EME]',06/2024,,Q)":52.017086,"DUMMY^ECON_EXPR_DATA('FDS_ECON[NTCPMIMFGSA@EME]',03/2024,,Q)":51.512165,"CC_TW^IMF_IFS_RCPI_Q(-2AM)":null,"CC_ID^IMF_IFS_RCPI_Q(-2AM)":null,"CC_AE^IMF_IFS_RCPI_Q(-2AM)":null,"CC_QA^IMF_IFS_RCPI_Q(-2AM)":null,"CC_QA^IMF_IFS_RCPI_Q(-3AM)":null,"CC_AE^IMF_IFS_RCPI_Q(-3AM)":null,"CC_ID^IMF_IFS_RCPI_Q(-3AM)":null,"CC_TW^IMF_IFS_RCPI_Q(-3AM)":null}]]></FdsFormulaCache>
</file>

<file path=customXml/itemProps1.xml><?xml version="1.0" encoding="utf-8"?>
<ds:datastoreItem xmlns:ds="http://schemas.openxmlformats.org/officeDocument/2006/customXml" ds:itemID="{9D44E075-63AF-4487-A69E-A67630E0A4E6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Charts</vt:lpstr>
      </vt:variant>
      <vt:variant>
        <vt:i4>1</vt:i4>
      </vt:variant>
    </vt:vector>
  </HeadingPairs>
  <TitlesOfParts>
    <vt:vector size="27" baseType="lpstr">
      <vt:lpstr>Assumption</vt:lpstr>
      <vt:lpstr>Technical Strength</vt:lpstr>
      <vt:lpstr>OUTPUT_COUNTRY</vt:lpstr>
      <vt:lpstr>PORTFOLIO</vt:lpstr>
      <vt:lpstr>OUTPUT_PPT</vt:lpstr>
      <vt:lpstr>mnemonics</vt:lpstr>
      <vt:lpstr>Value -2 </vt:lpstr>
      <vt:lpstr>LIQIDITY 2</vt:lpstr>
      <vt:lpstr>Quality - 2</vt:lpstr>
      <vt:lpstr>Momnetum ranking</vt:lpstr>
      <vt:lpstr>Safety</vt:lpstr>
      <vt:lpstr>Timing</vt:lpstr>
      <vt:lpstr>Leading Indicator</vt:lpstr>
      <vt:lpstr>t -PE</vt:lpstr>
      <vt:lpstr>Forwa Pe</vt:lpstr>
      <vt:lpstr>DY </vt:lpstr>
      <vt:lpstr>Monthly Returns</vt:lpstr>
      <vt:lpstr>Yearly returns</vt:lpstr>
      <vt:lpstr>Index earnings</vt:lpstr>
      <vt:lpstr>GDP_GROWTH</vt:lpstr>
      <vt:lpstr>Currency- 2</vt:lpstr>
      <vt:lpstr>CAD</vt:lpstr>
      <vt:lpstr>Country Int rates </vt:lpstr>
      <vt:lpstr>Index ROE</vt:lpstr>
      <vt:lpstr>Economic Momentum</vt:lpstr>
      <vt:lpstr>Market Capitalisation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ETF</cp:keywords>
  <cp:lastModifiedBy>prasham jain</cp:lastModifiedBy>
  <dcterms:created xsi:type="dcterms:W3CDTF">2023-02-28T05:25:38Z</dcterms:created>
  <dcterms:modified xsi:type="dcterms:W3CDTF">2024-07-22T03:57:26Z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