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Kimberly Kent\Documents\Master\HS23\Masterarbeit\Masters-Thesis\testing\testing_results\"/>
    </mc:Choice>
  </mc:AlternateContent>
  <xr:revisionPtr revIDLastSave="0" documentId="13_ncr:40009_{C32E0A07-FBCC-40F5-BBA7-E8C8298FA45E}" xr6:coauthVersionLast="47" xr6:coauthVersionMax="47" xr10:uidLastSave="{00000000-0000-0000-0000-000000000000}"/>
  <bookViews>
    <workbookView xWindow="-110" yWindow="-110" windowWidth="19420" windowHeight="11500" activeTab="3"/>
  </bookViews>
  <sheets>
    <sheet name="evaluation of generated answers" sheetId="1" r:id="rId1"/>
    <sheet name="week" sheetId="2" r:id="rId2"/>
    <sheet name="month" sheetId="3" r:id="rId3"/>
    <sheet name="FTE" sheetId="4" r:id="rId4"/>
  </sheets>
  <definedNames>
    <definedName name="_xlnm._FilterDatabase" localSheetId="0" hidden="1">'evaluation of generated answers'!$A$1:$Q$30</definedName>
  </definedNames>
  <calcPr calcId="0"/>
</workbook>
</file>

<file path=xl/calcChain.xml><?xml version="1.0" encoding="utf-8"?>
<calcChain xmlns="http://schemas.openxmlformats.org/spreadsheetml/2006/main">
  <c r="B3" i="4" l="1"/>
  <c r="B2" i="4"/>
  <c r="E3" i="4"/>
  <c r="E2" i="4"/>
  <c r="G17" i="2"/>
  <c r="C17" i="2"/>
  <c r="B17" i="2"/>
  <c r="H4" i="2"/>
  <c r="I4" i="2" s="1"/>
  <c r="H8" i="2"/>
  <c r="I8" i="2" s="1"/>
  <c r="H7" i="2"/>
  <c r="I7" i="2" s="1"/>
  <c r="H6" i="2"/>
  <c r="I6" i="2" s="1"/>
  <c r="H5" i="2"/>
  <c r="I5" i="2" s="1"/>
  <c r="C6" i="3"/>
  <c r="B6" i="3"/>
  <c r="G6" i="3"/>
  <c r="H6" i="3"/>
  <c r="I4" i="3"/>
  <c r="I5" i="3"/>
  <c r="I3" i="3"/>
  <c r="C5" i="2"/>
  <c r="D5" i="2" s="1"/>
  <c r="C4" i="2"/>
  <c r="D4" i="2" s="1"/>
  <c r="C5" i="3"/>
  <c r="D5" i="3" s="1"/>
  <c r="C4" i="3"/>
  <c r="D4" i="3" s="1"/>
  <c r="C3" i="3"/>
  <c r="D3" i="3" s="1"/>
  <c r="B4" i="3"/>
  <c r="B5" i="3"/>
  <c r="B3" i="3"/>
  <c r="D6" i="2"/>
  <c r="D7" i="2"/>
  <c r="D8" i="2"/>
  <c r="D9" i="2"/>
  <c r="D10" i="2"/>
  <c r="D11" i="2"/>
  <c r="D12" i="2"/>
  <c r="D13" i="2"/>
  <c r="D14" i="2"/>
  <c r="D15" i="2"/>
  <c r="D16" i="2"/>
  <c r="D3" i="2"/>
  <c r="I9" i="2"/>
  <c r="I10" i="2"/>
  <c r="I11" i="2"/>
  <c r="I12" i="2"/>
  <c r="I13" i="2"/>
  <c r="I14" i="2"/>
  <c r="I15" i="2"/>
  <c r="I16" i="2"/>
  <c r="I3" i="2"/>
  <c r="C11" i="2"/>
  <c r="C16" i="2"/>
  <c r="C14" i="2"/>
  <c r="C15" i="2"/>
  <c r="C13" i="2"/>
  <c r="C12" i="2"/>
  <c r="C10" i="2"/>
  <c r="C8" i="2"/>
  <c r="C9" i="2"/>
  <c r="C7" i="2"/>
  <c r="C6" i="2"/>
  <c r="C3" i="2"/>
  <c r="B16" i="2"/>
  <c r="B15" i="2"/>
  <c r="B14" i="2"/>
  <c r="B13" i="2"/>
  <c r="B12" i="2"/>
  <c r="B11" i="2"/>
  <c r="B10" i="2"/>
  <c r="B9" i="2"/>
  <c r="B8" i="2"/>
  <c r="B7" i="2"/>
  <c r="B5" i="2"/>
  <c r="B6" i="2"/>
  <c r="B4" i="2"/>
  <c r="B3" i="2"/>
  <c r="N3" i="1"/>
  <c r="M3" i="1"/>
  <c r="N4" i="1"/>
  <c r="N5" i="1"/>
  <c r="N6" i="1"/>
  <c r="N7" i="1"/>
  <c r="N8" i="1"/>
  <c r="N9" i="1"/>
  <c r="N10" i="1"/>
  <c r="N11" i="1"/>
  <c r="N12" i="1"/>
  <c r="N13" i="1"/>
  <c r="N14" i="1"/>
  <c r="N15" i="1"/>
  <c r="N16" i="1"/>
  <c r="N17" i="1"/>
  <c r="N18" i="1"/>
  <c r="N19" i="1"/>
  <c r="N20" i="1"/>
  <c r="N21" i="1"/>
  <c r="N22" i="1"/>
  <c r="N23" i="1"/>
  <c r="N24" i="1"/>
  <c r="N25" i="1"/>
  <c r="N26" i="1"/>
  <c r="N27" i="1"/>
  <c r="N28" i="1"/>
  <c r="N29" i="1"/>
  <c r="N30" i="1"/>
  <c r="N2" i="1"/>
  <c r="M4" i="1"/>
  <c r="M5" i="1"/>
  <c r="M6" i="1"/>
  <c r="M7" i="1"/>
  <c r="M8" i="1"/>
  <c r="M9" i="1"/>
  <c r="M10" i="1"/>
  <c r="M11" i="1"/>
  <c r="M12" i="1"/>
  <c r="M13" i="1"/>
  <c r="M14" i="1"/>
  <c r="M15" i="1"/>
  <c r="M16" i="1"/>
  <c r="M17" i="1"/>
  <c r="M18" i="1"/>
  <c r="M19" i="1"/>
  <c r="M20" i="1"/>
  <c r="M21" i="1"/>
  <c r="M22" i="1"/>
  <c r="M23" i="1"/>
  <c r="M24" i="1"/>
  <c r="M25" i="1"/>
  <c r="M26" i="1"/>
  <c r="M27" i="1"/>
  <c r="M28" i="1"/>
  <c r="M29" i="1"/>
  <c r="M30" i="1"/>
  <c r="M2" i="1"/>
  <c r="I17" i="2" l="1"/>
  <c r="H17" i="2"/>
  <c r="D17" i="2"/>
  <c r="D18" i="2"/>
  <c r="H3" i="3"/>
  <c r="G14" i="2"/>
  <c r="G5" i="3"/>
  <c r="H5" i="3"/>
  <c r="G3" i="3"/>
  <c r="H4" i="3"/>
  <c r="G4" i="3"/>
  <c r="H12" i="2"/>
  <c r="G6" i="2"/>
  <c r="H13" i="2"/>
  <c r="G7" i="2"/>
  <c r="G15" i="2"/>
  <c r="H14" i="2"/>
  <c r="G8" i="2"/>
  <c r="G16" i="2"/>
  <c r="H15" i="2"/>
  <c r="G9" i="2"/>
  <c r="G10" i="2"/>
  <c r="G11" i="2"/>
  <c r="H16" i="2"/>
  <c r="H9" i="2"/>
  <c r="G3" i="2"/>
  <c r="H10" i="2"/>
  <c r="G4" i="2"/>
  <c r="G12" i="2"/>
  <c r="H3" i="2"/>
  <c r="H11" i="2"/>
  <c r="G5" i="2"/>
  <c r="G13" i="2"/>
  <c r="D7" i="3" l="1"/>
  <c r="D6" i="3"/>
  <c r="I18" i="2"/>
  <c r="I7" i="3" l="1"/>
  <c r="I6" i="3"/>
</calcChain>
</file>

<file path=xl/sharedStrings.xml><?xml version="1.0" encoding="utf-8"?>
<sst xmlns="http://schemas.openxmlformats.org/spreadsheetml/2006/main" count="377" uniqueCount="194">
  <si>
    <t>Incident-ID</t>
  </si>
  <si>
    <t>Status</t>
  </si>
  <si>
    <t>Betreff</t>
  </si>
  <si>
    <t>Beschreibung</t>
  </si>
  <si>
    <t>LÃ¶sungsbeschreibung</t>
  </si>
  <si>
    <t>generated_answers</t>
  </si>
  <si>
    <t>Anfrageart</t>
  </si>
  <si>
    <t>GelÃ¶st Dauer in h</t>
  </si>
  <si>
    <t>Erstellt Datum Zeit</t>
  </si>
  <si>
    <t>Incident-Typ</t>
  </si>
  <si>
    <t>Herkunft</t>
  </si>
  <si>
    <t>20230901-0065</t>
  </si>
  <si>
    <t>Geschlossen</t>
  </si>
  <si>
    <t>Link in Call-to-Action Teaser nicht zu deaktivieren/entfernen</t>
  </si>
  <si>
    <t xml:space="preserve">Ich sollte bei unseren Bachelor-StudiengÃ¤nge die Links zur Anmeldung entfernen, da das Anmeldefenster geschlossen wurde.
Â 
Bei den meisten konnte ich das machen, da der Link im Teaser zur Bearbeitung vorhanden war und ich lÃ¶schen konnte.
Jedoch beim Call to Action Teaser kommen ich und auch Martina Gander nicht drauf, wo dieser Link zu lÃ¶schen ist.
Es geht um den Bachelor Business Psychology wo auf der Hauptwebseite diese Box vorhanden ist und ein Â«Onla LinkÂ» zur VerfÃ¼gung steht.
Wenn ich jedoch den Teaser bearbeiten will, ist dieser Link nirgends vorhanden:
</t>
  </si>
  <si>
    <t>Damit die Anmeldung aus dem Call-To-Action Teaser entfernt wird, muss in der Facts List der Evento-Anlass zur Online Anmeldung entfernt werden.
Bei der gewÃ¼nschten Seite wurde dies nun umgesetzt.
FÃ¼r die anderen Seiten, wo man sich nicht mehr anmelden darf, muss dies auch noch erledigt werden.
Du kannst im Extended Preview sehen, ob deine Ã„nderung im Live-Modus auch so aussieht.
Â 
Der folgende Webhelp-Link zeigt dir noch mehr Angaben zu diesem Thema:
https://applsupport.hslu.ch/webhelp/index.html?hm_links_der_linkliste_zuweisen.htm
(Tipp: klappe alle Inhalte auf, dann siehst du mehr Informationen wie z. B. Status-Meldungen Call-To-Action-Teaserâ€¦), etc. Es klingt im ersten Moment etwas kompliziert, wird aber nach hÃ¤ufigem Gebrauch immer klarer und einfach im Einsatz.</t>
  </si>
  <si>
    <t>Um den Link zur Anmeldung im Call-to-Action Teaser des Bachelor Business Psychology zu entfernen, musst du folgendermaÃŸen vorgehen:
1. In der Facts List der entsprechenden Seite den Evento-Anlass zur Online-Anmeldung entfernen. Dadurch wird die Anmeldung aus dem Call-To-Action Teaser entfernt.
2. Im Extended Preview kannst du Ã¼berprÃ¼fen, ob die Ã„nderung korrekt umgesetzt wurde und im Live-Modus auch so aussieht.
Falls du weitere Anleitungen benÃ¶tigst, findest du mehr Informationen zum Zuweisen von Links in einem Call-to-Action-Teaser [hier](https://applsupport.hslu.ch/webhelp/hm_links_der_linkliste_zuweisen.htm). Beachte, dass die Checkbox "KontextabhÃ¤ngige Informationen aus Evento anzeigen" aktiviert sein muss, damit die Anmeldung Ã¼ber ONLA / WeVe funktioniert. Ist diese Checkbox deaktiviert, wird kein Link bzw. keine Statusmeldung angezeigt. 
Sollte der Link nicht in der Facts List hinterlegt sein, kannst du den Link auch direkt im Call-to-Action Teaser lÃ¶schen, indem du den Teaser im Editier-Modus Ã¶ffnest und den Link aus der Linkliste entfernst. Speichere anschlieÃŸend die Ã„nderungen, um sie sichtbar zu machen.
Bitte beachte, dass du keine Ã„nderungen auf der Live-Seite siehst, bevor die Ã„nderungen nicht verÃ¶ffentlicht sind.</t>
  </si>
  <si>
    <t>correct</t>
  </si>
  <si>
    <t>Dokumentation nicht gelesen</t>
  </si>
  <si>
    <t>Service Request</t>
  </si>
  <si>
    <t>E-Mail</t>
  </si>
  <si>
    <t>20230905-0130</t>
  </si>
  <si>
    <t>Anmeldeprozess</t>
  </si>
  <si>
    <t xml:space="preserve">Wir haben uns gerade Gedanken darÃ¼ber gemacht, wie wir den Weg zur Online-Anmeldung fÃ¼r die Seitenbesucher:innen einfacher gestalten kÃ¶nnen. Wenn wir das richtig sehen, ist der aktuelle Standard-Weg via Call-to-Action-Box in der Seitenspalte auf der Faktenseite. Auf mobilen GerÃ¤ten wird jedoch diese erst am Ende der Seite dargestellt. Ist es mÃ¶glich den direkten Link zur Online-Anmeldung von den jeweiligen Studienrichtungen auch in einer blauen Textbox zu verlinken?
Diese ist besser sichtbar &amp; leitet so unsere Besucher:innen einfacher durch den Anmeldeprozess. 
</t>
  </si>
  <si>
    <t xml:space="preserve">Es ist nicht mÃ¶glich, dass die Online Anmeldungen Ã¼ber Textboxen oder andere Elemente vorgenommen wird. Dies wurde bewusst so programmiert. Der Prozess Ã¼ber die Zwischenseite wurde deshalb angepasst, weil es Anpassungen auf Seiten von ONLA gab und nicht auf Seiten Sitecore. Deshalb sind die Anmeldungen nur auf Seiten mÃ¶glich, wo auch eine Factsliste eingebunden ist. Diese gibt grundsÃ¤tzlich vor, was in den CtA-Boxen als Onla-Link integriert wird.
Â 
GrundsÃ¤tzlich wÃ¤re ja ein anderer Prozess fÃ¼r die Online-Anmeldung angedacht, als wie es bei D&amp;K umgesetzt ist. Ich sende dir dazu noch zwei Video-Beispiele per Teams. Da siehst du, dass es bei D&amp;K aktuell mehr Klicks mehr benÃ¶tigt als bei den anderen Departementen.
</t>
  </si>
  <si>
    <t>Leider kann ich deine Frage nicht beantworten.</t>
  </si>
  <si>
    <t>20230906-0204</t>
  </si>
  <si>
    <t>WG: Falsch verlinkt</t>
  </si>
  <si>
    <t xml:space="preserve">Auf der Seite https://www.hslu.ch/de-ch/hochschule-luzern/campus/labs-und-infrastruktur/mensen/ scheint die Mensa T&amp;A falsch verlinkt zu sein. Es Ã¶ffnet immer die Mensa der Wirtschaft.
</t>
  </si>
  <si>
    <t>Das Ticket wurde an Aline Schwarzentruber weitergeleitet.</t>
  </si>
  <si>
    <t>20230907-0053</t>
  </si>
  <si>
    <t>Sitecore</t>
  </si>
  <si>
    <t>Wir haben auf MyCampus ein Dokument ausgetauscht, welches unbedingt so schnell wie mÃ¶glich publiziert werden muss.
Â 
WÃ¤re es mÃ¶glich, dass ihr dies manuell verÃ¶ffentlichen kÃ¶nnt?
Es betrifft dieses Dokument: https://stage-mycampus.hslu.ch/sitecore/shell/-/media/campus/common/files/dokumente/other/mycampus/m/m-modullisten-webeinschreibung/restplatzboerse-fs23.pdf?la=de-ch</t>
  </si>
  <si>
    <t>Das Dokument sollte nun mit dem allegemeinen Pubilshing um 12.05 Uhr verÃ¶ffentlicht worden sein.
In Zukunft hilft es uns, wenn du die Seite, welche bearbeitet werde muss, auch mit schickst.
Sowie auch eine BegrÃ¼ndung, warum dieses Dokument zu einer anderen Zeit verÃ¶ffentlicht werden muss.</t>
  </si>
  <si>
    <t>Die Publishing-Zeiten bei Sitecore sind normalerweise auf 00:05 Uhr und 12:05 Uhr festgelegt. In seltenen, sehr dringenden Fällen kann jedoch ein außerordentliches Publishing außerhalb dieser Zeiten durchgeführt werden. Um dies zu beantragen, sende bitte eine E-Mail an den [Websupport](mailto:websupport@hslu.ch) mit der Bitte um ein außerordentliches Publishing und erkläre dabei die Dringlichkeit des Anliegens. Weitere Informationen zu den Publish-Optionen findest du [hier](https://applsupport.hslu.ch/webhelp/index.html?hm_publish_options.htm).</t>
  </si>
  <si>
    <t>20230911-0067</t>
  </si>
  <si>
    <t>WG: Frage zu MyCampus, Sitecore</t>
  </si>
  <si>
    <t xml:space="preserve">Ich melde mich bei dir, weil ich eine Frage zu Sitecore und MyCampus habe. Und zwar ist in der mobilen Webansicht eine Infobox zu sehen mit Informationen zur Webeinschreibung. Nun mÃ¶chte ich sie gerne lÃ¶schen, weiss jedoch nicht wie. Kannst du mir da weiterhelfen? 
</t>
  </si>
  <si>
    <t xml:space="preserve">Die gewÃ¼nschte Infobox kann so Ã¤hnlich gelÃ¶scht werden wie bei einem Moodboard.
Du musst unter Campus &gt; Page &gt; Page Options die Infobox abwÃ¤hlen.
Â 
Im folgenden Link findest du den Webhelp-Artikel:
https://applsupport.hslu.ch/webhelp/hm_infobox_loeschen.htm
</t>
  </si>
  <si>
    <t>Um die Infobox mit Informationen zur Webeinschreibung in der mobilen Webansicht zu lÃ¶schen, musst du die folgenden Schritte befolgen:
1. Im Ribbon-MenÃ¼ von Sitecore unter â€žCampusâ€œ zu â€žPage Optionsâ€œ navigieren.
2. Dort die Option wÃ¤hlen, um die leere Infobox der Seite zuzuweisen.
3. Mit â€žOKâ€œ bestÃ¤tigen, um die Ã„nderung zu speichern.
4. Die Seite anschlieÃŸend mit F5 (Refresh) neu laden oder auf das Browser-Icon zum Aktualisieren klicken.
Nachdem die Seite neu geladen wurde, sollte die Infobox nicht mehr angezeigt werden. Beachte, dass die Infobox nie direkt auf der Seite gelÃ¶scht werden sollte, da sie sonst in Zukunft nicht mehr hinzugefÃ¼gt werden kann.
FÃ¼r eine detaillierte Anleitung mit Bildern kannst du dich auf folgenden Webhelp-Artikel beziehen: [Infobox von der Seite entfernen](https://applsupport.hslu.ch/webhelp/hm_infobox_loeschen.htm).</t>
  </si>
  <si>
    <t>20230912-0067</t>
  </si>
  <si>
    <t>Seitennavigation</t>
  </si>
  <si>
    <t xml:space="preserve">Leider kriege ich es nicht hin, auf folgender Seite den Titel der Seite zu Ã¤ndern zu Â«Fakten zu allen Master-AngebotenÂ» :
Â 
Â 
</t>
  </si>
  <si>
    <t>Der Linktext in der Side Navigation kommt nicht von der virtuellen Navigation sondern von der Seite selbst (Siehe gelbe Markierungen).
Hier mÃ¼sste der Linktext in der Side-Navigation korrigiert werden.</t>
  </si>
  <si>
    <t>Um den Titel der Seite zu "Fakten zu allen Master-Angeboten" zu Ã¤ndern, ohne dabei die URL zu beeinflussen, kannst du folgende Schritte im CMS Sitecore durchfÃ¼hren:
- Gehe im Sitecore Content Editor zu der Seite, deren Titel du Ã¤ndern mÃ¶chtest.
- Klicke auf die Seite, um die Bearbeitungsoptionen anzuzeigen.
- Suche nach dem Feld "Navigation Options" oder einem Ã¤hnlich benannten Bereich, wo du die Einstellungen fÃ¼r die Seitennavigation vornehmen kannst.
- Dort kannst du den Text fÃ¼r die Seitennavigation anpassen, ohne dass die URL der Seite beeinflusst wird.
- Gib den neuen Titel "Fakten zu allen Master-Angeboten" ein. Diese Ã„nderung wird fÃ¼r die Anzeige in der Navigation verwendet, ohne die URL zu verÃ¤ndern.
Wichtig ist, dass du die Sprachversion der Seite berÃ¼cksichtigst, auf der du die Ã„nderungen vornimmst. Solltest du die englische Version der Seite bearbeiten wollen, wechsle vorher in die englische Seitenversion.
Falls du weitere Details benÃ¶tigst, findest du mehr Informationen dazu im Webhelp-Artikel zur Anpassung der Navigations-Optionen [hier](https://applsupport.hslu.ch/webhelp/index.html?hm_navigations_options-ribbon.htm).</t>
  </si>
  <si>
    <t>20230912-0150</t>
  </si>
  <si>
    <t>AW: Anfrage Websupport wurde gelÃ¶st: [#20230725-0026] / [WG: Website MSc Banking and Finance]</t>
  </si>
  <si>
    <t xml:space="preserve">Bei einer englsichen Ausbildungsseite habe ich das Zeitmodell part-time, 4 semesters gewÃ¤hlt. Gibt es eine MÃ¶glichkeit dies auf der Seite als  Â«4 semester modelÂ» anzeigen zu lassen?
Ich kann aber das Zeitmodell nur via Drop-Down AuswahlmenÃ¼ wÃ¤hlen und dort ist dieser gewÃ¼nschte Name nicht vorhanden. Nur auf Deutsch Â«Teilzeit 4 SemesterÂ»
Â 
Wie kann man hier ein neues Modell zur Auswahlliste hinzufÃ¼gen? / einen neuen Namen des Modells hinzufÃ¼gen?
Â 
Im WebHelp finde ich nur, die Hinterlegung des Modells, aber nicht wie ich im AuswahlmenÃ¼/Drop-Down ein neues Modell oder einen neuen Namen hinzufÃ¼gen kann.
WebHelp Suche unter:
https://applsupport.hslu.ch/webhelp/index.html?hm_konfiguration_autom__erstellte.htm
https://applsupport.hslu.ch/webhelp/index.html?hm_durchfuehrungen.htm
Â 
Seite des Masters zu verÃ¤ndern:
https://www.hslu.ch/en/lucerne-school-of-business/degree-programmes/master/banking-and-finance/modules/#?filters=v-a08a6cd5-c864-4d39-b4a7-41108dd989ab,z-99caff11-b30e-43b5-b8d9-44037a32d9a5
</t>
  </si>
  <si>
    <t xml:space="preserve">Das Zeitmodell "Teilzeit - 4 Semester" hat in Sitecore fÃ¼r englische Seiten die Ãœbersetzung "part-time, 4 semesters" hinterlegt.
Die Auswahl der Zeitmodelle ist global geregelt und kann von Webautoren nicht Ã¼bersteuert werden.
Eine ErgÃ¤nzung ist nicht vorgesehen, da alle Studienformen und Zeitmodelle abgedeckt sind.
Zudem ist damit ein einheitlicher Auftritt gewÃ¤hrleistet.
</t>
  </si>
  <si>
    <t>Um ein neues Zeitmodell oder einen neuen Namen im Drop-Down-AuswahlmenÃ¼ hinzuzufÃ¼gen, kannst du die Struktur der Ausbildungsseiten im CMS Sitecore verwenden. Dazu gehÃ¶ren Elemente wie Vertiefungsrichtungen und DurchfÃ¼hrungen, bei denen verschiedene Kombinationen aus Vertiefungsrichtungen und Zeitmodellen festgelegt werden. Hier eine Anleitung, wie du vorgehen kannst:
1. Melde dich im Sitecore CMS an. [Login-Anleitung](https://applsupport.hslu.ch/webhelp/hm_login.htm)
2. Navigiere zum Bereich der Ausbildungsseite im Content Editor, wo du das neue Zeitmodell hinzufÃ¼gen mÃ¶chtest.
3. FÃ¼ge eine neue Vertiefungsrichtung hinzu, wenn erforderlich. [Vertiefungsrichtungen](https://applsupport.hslu.ch/webhelp/hm_vertiefungsrichtungen.htm)
4. Erstelle eine neue DurchfÃ¼hrung, die das gewÃ¼nschte Zeitmodell â€ž4 semester modelâ€œ enthÃ¤lt. [DurchfÃ¼hrungen](https://applsupport.hslu.ch/webhelp/hm_durchfuehrungen.htm)
5. Passe die Spracheinstellungen an, um sicherzustellen, dass die neue DurchfÃ¼hrung korrekt auf der englischen Seite angezeigt wird. [Sprach-Version](https://applsupport.hslu.ch/webhelp/hm_sprachversion.htm)
Beachte, dass du immer eine deutsche Version der Inhalte benÃ¶tigst, da alle Inhalte gemÃ¤ÃŸ der Web Governance auch auf Deutsch vorhanden sein mÃ¼ssen. Denk daran, dass die Ã„nderungen auf der englischen Seite erst angezeigt werden, nachdem du eine neue Version in der entsprechenden Sprache erstellt und die Inhalte Ã¼bersetzt hast.
Wenn du UnterstÃ¼tzung beim HinzufÃ¼gen oder Konfigurieren der Inhalte benÃ¶tigst, kannst du die Webhelp-Artikel konsultieren oder dich an das Web-Support-Team wenden. Leider kann ich ohne direkten Zugang zu den genauen Webhelp-Artikeln und deinem Sitecore-System keine spezifischere Anleitung geben.</t>
  </si>
  <si>
    <t>20230920-0161</t>
  </si>
  <si>
    <t>Ladefehler im Sidecore</t>
  </si>
  <si>
    <t>Ich habe wieder das Problem, dass meine Seite live nicht richtig geladen wird, resp die Anpassungen nicht Ã¼bernommen werden. WÃ¤re es mÃ¶glich diese morgen kurz zu aktualisieren â€“ die verantwortliche Person an der Informatik mÃ¶chte die Seite morgen Korrekturlesen â€“ daher stehe ich etwas unter Zeitdruck. Falls es nicht mÃ¶glich ist, kannst du mir kurz Bescheid geben, damit ich sie informieren kann? Link der Seite: https://www.hslu.ch/en/lucerne-school-of-information-technology/degree-programs/bachelor/international-it-management/ oder https://stage-www.hslu.ch/en/lucerne-school-of-information-technology/degree-programs/bachelor/international-it-management/</t>
  </si>
  <si>
    <t>Seiten wurden Ã¼ber Nacht neu publiziert und funktionieren nun.</t>
  </si>
  <si>
    <t>Um das Problem mit der Seite zu beheben, die live nicht richtig geladen wird oder die Anpassungen nicht Ã¼bernommen werden, solltest du folgende Schritte Ã¼berprÃ¼fen:
1. Kontrolliere die **Publish Einstellungen** im Experience Editor unter "Campus &gt; Publish Options". Stelle sicher, dass die Checkbox "Never publish" nicht angekreuzt ist, und dass das Feld "Publish" den Zeitpunkt definiert, ab wann die Inhalte verÃ¶ffentlicht werden sollen. Beachte, dass die Seite immer auf den nÃ¤chstfolgenden VerÃ¶ffentlichungszeitpunkt live geschaltet wird, entweder um 12:05 oder um 00:05 Uhr.
2. ÃœberprÃ¼fe, ob alle **Seitenelemente** und **Sprachversionen** korrekt gepflegt sind. Seiten und Seitenelemente mÃ¼ssen immer in der deutschen Version vorhanden sein. Wenn Inhalte nur in Englisch vorhanden sind, kann dies fÃ¼r SEO schÃ¤dlich sein und zu Problemen fÃ¼hren.
3. Wenn du eine **Aktualisierung auÃŸerhalb der Ã¼blichen Publishing-Zeiten** benÃ¶tigst, ist es in dringenden FÃ¤llen mÃ¶glich, ein auÃŸerplanmÃ¤ÃŸiges Publishing durchzufÃ¼hren. Sende in diesem Fall bitte eine E-Mail an den [Websupport](mailto:websupport@hslu.ch) und schildere dein Anliegen.
Wenn du diese Schritte befolgt hast und die Seite immer noch nicht korrekt angezeigt wird, kann es weitere spezifische GrÃ¼nde geben, die eine genauere Untersuchung erfordern. In solchen FÃ¤llen wende dich an den Websupport, um weitere UnterstÃ¼tzung zu erhalten.</t>
  </si>
  <si>
    <t>20230921-0088</t>
  </si>
  <si>
    <t>Sitecore Websites kopieren</t>
  </si>
  <si>
    <t>Folgende Website muss ich dreimal erstellen, da die Veranstaltung an drei verschiedenen Daten stattfindet:
https://www.hslu.ch/de-ch/wirtschaft/agenda/veranstaltungen/2024/01/24/ibr-boxenstopp-peer-coaching/
Â 
Darf ich die Seite im Sitecore kopieren/duplizieren? Ich habe mal gemeint, das dÃ¼rfe man nicht, aus irgendeinem Grund. Was kÃ¶nnt Ihr mir empfehlen, dass ich nicht alles dreimal von vorne eingeben muss?</t>
  </si>
  <si>
    <t>Du sieht das genau richtig. Seiten dÃ¼rfen nicht kopiert oder dupliziert werden.
Ansonsten werden Ã„nderungen von einer Seite auf die kopierten Seiten Ã¼bertragen.
Â 
Es empfiehlt sich sonst mit "shared Items" zu arbeiten. So kann das Erstellen der Seiten etwas erleichtert werden.</t>
  </si>
  <si>
    <t>Seiten und Items dÃ¼rfen in Sitecore nicht dupliziert oder kopiert werden. Dies fÃ¼hrt zu Problemen (Error 500). Daher ist es nicht empfohlen, die bestehende Veranstaltungsseite zu kopieren oder zu duplizieren, um die gleiche Veranstaltung fÃ¼r verschiedene Daten zu erstellen. Um die notwendigen Veranstaltungsseiten fÃ¼r die unterschiedlichen Daten anzulegen, solltest du fÃ¼r jede Veranstaltung einen neuen Agenda-Eintrag erstellen.
Die Schritte zum Erstellen eines neuen Agenda-Eintrags sind wie folgt:
1. Im Experience Editor zur Haupt-Agenda-Seite des entsprechenden Departements navigieren, nur hier kÃ¶nnen Agenda-EintrÃ¤ge erfasst werden.
2. Im Ribbon-MenÃ¼ den Befehl "Home &gt; Insert Event" auswÃ¤hlen.
3. Im Dialog den gewÃ¼nschten Event-Typ auswÃ¤hlen und dem Event-Item einen Namen geben und auf "Insert" klicken.
4. Das Kalender-Icon wÃ¤hlen und im neuen Fenster das gewÃ¼nschte Anfangs- und Enddatum sowie die Uhrzeit definieren.
5. Die weiteren Details der Veranstaltung im EventIntro erfassen.
6. Im Item "Formatierter Text mit Bild" das entsprechende Bild und den Text erfassen.
Hinweis: Nach dem Erstellen einer Veranstaltung wird der Index neu erstellt. Dies kann bis zu 15 Minuten dauern. Erst danach ist die neue Veranstaltung in den Filterlisten oder Teaser auffindbar.
Mehr Informationen zum Erfassen von Veranstaltungen findest du [hier](https://applsupport.hslu.ch/webhelp/hm_veranstaltung_erfassen.htm).</t>
  </si>
  <si>
    <t>20230925-0105</t>
  </si>
  <si>
    <t>Sitecore Fehler "Pending"?</t>
  </si>
  <si>
    <t>Ich habe in den letzten Tagen einige Events aufgeschaltet. Dabei ist mir aufgefallen, dass diese nach dem Live-Schalten nicht angezeigt werden.
Ich vermute, es liegt daran, dass das KÃ¤stchen Â«PendingÂ» aktiviert ist. Dieses hatte ich aber abgewÃ¤hlt. Nun, nach den Mittags-Live-Termin ist es wieder ausgewÃ¤hlt und die Seite entsprechend nicht Live auffindbar.
Dasselbe Problem hatte ich am Freitag mit zwei weiteren Veranstaltungen. Deswegen habe ich heute speziell darauf geachtet.
Am Freitag hatte es erst beim zweiten Mal funktioniert (Mittag nicht, anschliessend nochmals abgewÃ¤hlt, am Abend funktionierte es). Heute habe ich es fÃ¼r den Abend-Release bereits wieder abgewÃ¤hlt.
Â 
Als ich heute an den beiden Terminen vom Freitag nochmals etwas anpassen musste, war Â«PendingÂ» wieder ausgewÃ¤hlt, die Seiten jedoch noch live.
Â 
Ist es ein Fehler im System, dass Â«PendingÂ» automatisch wieder gesetzt wird, obwohl es zuvor abgewÃ¤hlt wurde und die Ã„nderungen auch gespeichert wurden?
Â 
Das Problem trat bei folgenden Veranstaltungen auf:
2023 11 22 AIML-Autumn-Student-Industry-Event-2023
2024 04 24 AIML-Spring-Student-Industry-Event-2024
2024 11 29 AIML-Autumn-Student-Industry-Event-2024</t>
  </si>
  <si>
    <t>Das KÃ¤stchen "Pending" wird jeweils automatisch gesetzt und bedeutet, dass der Event noch nicht abgelaufen ist.
Hier findest du den Webhelp-Artikel dazu:
https://applsupport.hslu.ch/webhelp/hm_agenda---automatisch-gesteuert.htm
Â 
Dass Event-Seiten etwas lÃ¤nger dauern, bis sie live sind, ist bei uns bereits bekannt. (Sollte jedoch nicht lÃ¤nger als einen Tag gehen...)
Es liegt daran, dass die Indexierung der Seite etwas lÃ¤nger geht als bei anderen Seiten.
Â 
Soweit ich in der VeranstaltungsÃ¼bersicht der Informatik gesehen habe, sollten jedoch alle gewÃ¼nschten Events vorhanden sein. 
Â 
In Zukunft hilft es uns, wenn du jeweils Links zu den gesagten Seiten senden kÃ¶nntest.
So kÃ¶nnen wir das Problem einfacher und schneller finden.</t>
  </si>
  <si>
    <t>20230927-0076</t>
  </si>
  <si>
    <t>Anmeldelinks auf Hauptseiten hinzufÃ¼gen</t>
  </si>
  <si>
    <t>Wieso kann ich bei der Factliste keinen Onla-Anlass hinterlegen?</t>
  </si>
  <si>
    <t>Ich konnte nun das Problem mit der IT anschauen.
Diese beiden Wunschseiten von dir sind keine Ausbildungsseiten. (Ich bin davon ausgegangen, dass sie welche sind. DiesbezÃ¼glich habe ich dir ja bereits gesagt, dass man solche Item nicht lÃ¶schen darf - kurze Randnotiz;))
Â 
Aus diesem Grund kann auch keine Factsliste Ausbildung entstehen.
Das heisst auch, dass man auf den Hauptseiten keine Evento-Codes einfÃ¼gen kann.</t>
  </si>
  <si>
    <t>ONLA-AnlÃ¤sse kÃ¶nnen nur bei Factlisten auf Aus- und Weiterbildungsseiten eingefÃ¼gt werden. Auf diesen Seiten wird automatisch eine Aus- oder WeiterbildungsFactlist hinzugefÃ¼gt, die anders aussieht als Factlisten auf einer normalen Seite. Auf normalen Seiten kann keine Factsliste Ausbildung entstehen, was bedeutet, dass man auf den Hauptseiten keine Evento-Codes (Onla-AnlÃ¤sse) einfÃ¼gen kann.</t>
  </si>
  <si>
    <t>20231004-0158</t>
  </si>
  <si>
    <t>Dringend: Ãœbersichtsseite - Probleme mit Versionen</t>
  </si>
  <si>
    <t>Ich habe eine 2. Seitenversion erstellt. Die Version dieser beiden Seiten ist 2 und ist die Richtige und geht hoffentlich morgen live. Fraglich ist, was mit den beiden 1 Versionen passiertâ€¦.</t>
  </si>
  <si>
    <t>Ich konnte das nun abklÃ¤ren mit deinen beiden Versionen.
Wenn du auf deinen gewÃ¼nschten Seiten unter "Versionen" &gt; "Entfernen" klickst, kannst du entscheiden, ob nur die Aktuelle Version gelÃ¶scht werden sollte oder alle.
Da wir nicht gross mit solchen Versionen arbeiten, war ich mir eben nicht ganz sicher, aber es sollte so funktionieren.
Das beduetet jedoch auch, dass solche Versionen nicht gross verwendet werden sollten...
BezÃ¼glich deiner zweiten Frage und den Englischen-Items.
Wenn du im Content Editor auf deine gewÃ¼nschte Seite gehst und "Data" Ã¶ffnest, findest du alle benutzten Items von dieser Seite.
Anschliessend musst du nur noch die Sprache Ã¤ndern und auf alle verwendeten Items klicken.
So siehst du welche eine EN-Version haben und welche nicht.
Â 
Ich habe dir hier mal alle angestrichen, welche keine EN-Version haben.
Â 
Hoffe dir hilft es so weiter.
Â 
Beste GrÃ¼sse
Marina</t>
  </si>
  <si>
    <t>20231012-0045</t>
  </si>
  <si>
    <t>ZwiespÃ¤ltigkeit entfernen</t>
  </si>
  <si>
    <t xml:space="preserve">ich bekomme bei einem Rich-Text Teaser die Zweispaltigkeit nicht weg.
Â 
Bearbeitungsmodus 1-spaltig:Â Â Â Â Â Â Â Â Â Â Â Â Â Â Â Â Â Â Â Â Â Â Â Â Â Â Â Â Â Â Â Â Â Â Â Â Â Â Â Â Â Â Â  Â Â Â Â Â Â Â Â Â Â Â Â Â Â Vorschaumodus 2-spaltig:
Â 
Â Â Â Â Â Â Â Â Â Â Â Â Â Â  
Â 
Kann ich damit rechnen, dass es bei VerÃ¶ffentlichung trotzdem 1-spaltig ist oder findet Ihr einen Fehler?
Â 
https://stage-www.hslu.ch/?sc_mode=edit&amp;sc_itemid={0fc3716d-71f3-41b3-a28a-5c8cc0789da2}&amp;sc_ee_fb=false&amp;sc_debug=0&amp;sc_trace=0&amp;sc_prof=0&amp;sc_ri=0&amp;sc_rb=0
Â 
https://www.hslu.ch/de-ch/technik-architektur/ueber-uns/organisation/kompetenzzentren-und-forschungsgruppen/technik/bioscience-and-medical-engineering/medizintechnik/device-development/
</t>
  </si>
  <si>
    <t>Diese Anfrage haben wir bereits einmal erhalten.
Laut der Webhelp wird dieses Item bei der Web (Live-Version) sowie auch in der Vorschau zweispaltig angezeigt.
Es gibt jedoch Items, welche nur eine Spalteanzahl haben. NÃ¤mlich Toggle Text und Formatierter Text ohne Bild.
Mehr Informationen findest du unter dem Webhelp-Artikel ganz unten:
https://applsupport.hslu.ch/webhelp/hm_haeufige_fehler.htm</t>
  </si>
  <si>
    <t>Basierend auf den Informationen aus den Webhelp-Artikeln und den Ã¤hnlichen Fragen und Antworten ist es so, dass ein Rich Text Teaser bei einer 100% Einstellung ab ca. drei Zeilen Text immer zweispaltig angezeigt wird. Wenn du einspaltigen FlieÃŸtext mÃ¶chtest, solltest du das Element "Formatierter Text mit Bild" verwenden, welches auch ohne Bild funktioniert. Es ist daher wahrscheinlich, dass die Zweispaltigkeit auch nach der VerÃ¶ffentlichung bestehen bleibt, solange du den Rich Text Teaser verwendest. Um dies zu korrigieren, wÃ¤hle das Element "Formatierter Text mit Bild" fÃ¼r einspaltigen Text.
Hier findest du weitere Informationen zu diesem Thema und eine Anleitung, wie du den Rich Text Teaser bearbeiten kannst:
- [HÃ¤ufige Fehler](https://applsupport.hslu.ch/webhelp/hm_haeufige_fehler.htm)
- [Rich Text Teaser bearbeiten](https://applsupport.hslu.ch/webhelp/hm_rich_text_teaser_bearbeiten.htm)</t>
  </si>
  <si>
    <t>20231018-0022</t>
  </si>
  <si>
    <t>Publikation GIF auf Webseite</t>
  </si>
  <si>
    <t xml:space="preserve">Ich bekomme immer eine Fehlermeldung beim abspeichern von Bild â€“ weisst du an was dies liegen kÃ¶nnte? Ã  ich habe leider in der Webhelp nicht wirklich etwas dazu gefunden (https://applsupport.hslu.ch/webhelp/index.html?hm_bilder.htm)
</t>
  </si>
  <si>
    <t>Ich schliesse dieses Ticket, da das GIF auf deiner gewÃ¼nschten Seite eingebettet ist.</t>
  </si>
  <si>
    <t>20231023-0092</t>
  </si>
  <si>
    <t>Agenda-Eintrag</t>
  </si>
  <si>
    <t xml:space="preserve">Wie kann ich ein gelÃ¶schtes Element wiederherstellen?
</t>
  </si>
  <si>
    <t xml:space="preserve">Wenn du ein gelÃ¶schtes Item wieder brauchen mÃ¶chtest, kannst du dieses im Papierkorb finden und wiederherstellen.
</t>
  </si>
  <si>
    <t>Um ein versehentlich gelöschtes Element wiederherzustellen, kannst du den Papierkorb in Sitecore verwenden. Hier die Schritte, wie du vorgehen musst:</t>
  </si>
  <si>
    <t>20231025-0057</t>
  </si>
  <si>
    <t>Infobox: externen Link de/en</t>
  </si>
  <si>
    <t>Wie erstelle ich eine englische Version eines Elements? Wie erstelle ich eine englische version einer Infobox?</t>
  </si>
  <si>
    <t>Ich habe auf der Seite selbst den Folder "Infobox" noch als englische Version gespeichert. Aber von der Infobox selbst gibt es bereits eine englische Version:
Im Preview schaltet die Infobox um und es wird bei EN die Infobox in EN angezeigt.</t>
  </si>
  <si>
    <t>1. Melde dich in Sitecore an und wähle den Bereich "Desktop".</t>
  </si>
  <si>
    <t>20231025-0073</t>
  </si>
  <si>
    <t>MÃ¶glichkeit Side-Navigation auf Mobile Ansicht</t>
  </si>
  <si>
    <t xml:space="preserve">GemÃ¤ss nachfolgender RÃ¼ckmeldung auf eine Anfrage im Februar ist es nicht mÃ¶glich, die Side-Navigation auf der mobilen Ansicht zu sehen:
Â 
Â 
Die Side-Navigation kann jeweils nur eine Ebene der Navigation abbilden. Das heisst, wenn die aktuelle Seite die Hauptseite ist, dann werden alle direkten Unterseiten abgebildet, wenn dies Ã¼ber "Navigations Options" ausgewÃ¤hlt ist. Aber weitere Unterseiten auf tieferen Ebenen kÃ¶nnen nicht abgebildet werden.
Â 
Das Flyout bezieht sich nicht auf die Side-Navigation, sondern auf die Hauptnavigation. Level 0 und 1 werden immer angezeigt: 
Â 
Aber alle Navigations-Ebenen ab 2 werden als Flyout angezeigt, also das Menu Ã¶ffnet sich, wenn man mit der Maus darÃ¼ber fÃ¤hrt:
Â 
Empfehlung: Es sollten alle Seiten Ã¼ber das Flyout oder den Inhalt auf der Seite selbst erreichbar sein. Die Side-Navigation wird auf Mobile nicht angezeigt. So kÃ¶nnten Unterseiten fÃ¼r den User auf Mobile nicht erreichbar sein, weil diese nur Ã¼ber die Side-Navigation verlinkt Â sind.
Â 
Wenn die Unterseite in der Side-Navigation angezeigt werden soll, ist dies lediglich mÃ¶glich, wenn diese Seite auf eine hÃ¶here Navigations-Ebene verschoben wird.
Â 
Â 
Meine Frage: Wir haben viele Angebote mit Unterseiten und Side-Navigation. MÃ¼ssen wir diese Seiten fÃ¼r den Mobile-User mit einem Teaser oder Link verlinken, damit dieser auch auf die Unterseiten zugreifen kann?
</t>
  </si>
  <si>
    <t xml:space="preserve">Das ist unsere Empfehlung. Unterseiten sollten stets Ã¼ber die Hauptnavigation (in Mobile als "Hamburger-Menu" dargestellt) oder Ã¼ber Teaser und Verlinkungen im Text erreichbar sein. Es empfiehlt sich, die Vorschau Ã¼ber den Extended Preview zu verwenden, um die mobile Ansicht der Website anzuschauen und die UserJourney nachzuvollziehen.
</t>
  </si>
  <si>
    <t>2. Navigiere zum "Recycle Bin" (Papierkorb) unter "Tools &gt; Sitecore Experience Management".</t>
  </si>
  <si>
    <t>20231026-0141</t>
  </si>
  <si>
    <t>MyCampus - D&amp;K Exchange semester</t>
  </si>
  <si>
    <t xml:space="preserve">Wie kann dieser Balken (gelbe Markierung) "Some Content is only available in German" entfernt werden? Hier gehtâ€™s zum Link:
</t>
  </si>
  <si>
    <t xml:space="preserve">Der Balken kann manuell nicht entfernt werden. Das ist eine automatische Meldung, welche nicht mehr erscheint, wenn der gesamte Content der Seite auf englisch Ã¼bersetzt ist. Es hilft, wenn man sich die Seite in html anschaut. Dann fallen evtl. auch Meta-Texte auf, welche noch auf Deutsch hinterlegt sind. 
Â 
Bei besagter Seite ist bspw. die gesamte URL immer noch Deutsch, obwohl es sich um eine englische Seite handelt. Auch die URL wird angeschaut. Wenn die Seite englisch ist und auch im Code ersichtlich ist, dass es sich bezÃ¼glich Sprache um eine englische Seite handelt, muss auch die URL Ã¼bersetzt werden. Auch im Footer sind noch Direct entry und Quick links vorhanden, die auf Deutsch integriert sind.
</t>
  </si>
  <si>
    <t>3. Dort findest du alle gelöschten Inhalte.</t>
  </si>
  <si>
    <t>20231101-0040</t>
  </si>
  <si>
    <t>Infoveranstaltung erscheint nicht auf der Produktseite</t>
  </si>
  <si>
    <t xml:space="preserve">Kannst du mir bitte helfen? Ich habe vorgestern eine SA-Infoveranstaltung (16.11) aufgeschaltet, erscheint sie aber noch immer nicht auf der Produktseite in der Info-Box Infoveranstaltungen:
Â 
https://www.hslu.ch/de-ch/soziale-arbeit/agenda/veranstaltungen/2023/11/16/info-event-bachelor-nki/
</t>
  </si>
  <si>
    <t xml:space="preserve">Bei den Events dauert manchmal der Index etwas lÃ¤nger, da er nicht alle paar Minuten neu gebildet wird. Auf jeden Fall ist der Event aktuell in der Ãœbersicht zusehen:
</t>
  </si>
  <si>
    <t>4. Wähle das zu restaurierende Element aus und klicke auf den "Restore"-Button, um es wiederherzustellen.</t>
  </si>
  <si>
    <t>20231102-0040</t>
  </si>
  <si>
    <t>WeVE Formulare Mehrfachauswahl</t>
  </si>
  <si>
    <t xml:space="preserve">Bei der Musik WB haben sie dieses Formular, welches mit einem WeVE Formular ersetzt werden sollte.
Â 
Nun wurde ihnen aber intern gesagt, dass keine Mehrfachauswahl-Felder mÃ¶glich sind bei WeVe.
Siehe Teil Kursauswahl mit mehreren Kursen. 
Â 
https://www.hslu.ch/de-ch/musik/weiterbildung/weiterbildungskurse/kurse-musikschulleiterinnen/wb-anmeldung-leitungskurs/Â 
Â 
Neue Felder mÃ¼ssen anscheinend bei der IT eingerichtet werden? Wir haben uns eben gefragt, ob es nicht auch bei anderen Departementen schon so eingesetzt wird? </t>
  </si>
  <si>
    <t>Ãœber die mÃ¶glichen Felder bei WeVe kÃ¶nnen wir keine Auskunft geben. DafÃ¼r mÃ¼sst ihr euch an den Service Desk wenden. Die Einstellungen der WeVe-Formulare in Evento lÃ¤uft nicht Ã¼ber DMS. Wir wissen leider nicht, ob es dieses Feld nun schon gibt.
Â </t>
  </si>
  <si>
    <t>5. Falls du ein Element endgültig löschen möchtest, kannst du den "Delete"-Button verwenden.</t>
  </si>
  <si>
    <t>20231103-0099</t>
  </si>
  <si>
    <t>Kontaktangaben IKM im Footer</t>
  </si>
  <si>
    <t>Auf unsere Institutswebsite ist bei den Kontaktangaben im Footer unsere Hauptmailadresse nicht angegeben. Link: https://stage-www.hslu.ch/de-ch/wirtschaft/institute/ikm/
Â Â 
KÃ¶nnt ihr bitte ikm@hslu.ch analog den anderen Instituten ergÃ¤nzen?
Â </t>
  </si>
  <si>
    <t xml:space="preserve">Die Anpassung wurde vorgenommen und sollte nach dem nÃ¤chsten Deployment sichtbar sein.
</t>
  </si>
  <si>
    <t>6. Mit einem Klick auf "Empty" kannst du den gesamten Papierkorb leeren, was bedeutet, dass alle Inhalte permanent gelöscht werden.</t>
  </si>
  <si>
    <t>20231107-0042</t>
  </si>
  <si>
    <t>VerÃ¶ffentlichte Veranstaltung erscheint mit Infoboxfilter nicht</t>
  </si>
  <si>
    <t xml:space="preserve"> Im Backend des Events vom 19.02 sind die Major/Organisatoren entsprechend gepflegt, trotzdem taucht der Event nicht in der Eventfilterliste auf, wieso?</t>
  </si>
  <si>
    <t xml:space="preserve">Der Index hatte Probleme, weshalb es in der Liste noch nicht ersichtlich war. Inzwischen ist es wieder sichtbar.
</t>
  </si>
  <si>
    <t>Hier findest du die detaillierte Anleitung: [Papierkorb (Recycle Bin)](https://applsupport.hslu.ch/webhelp/hm_papierkorb.htm).</t>
  </si>
  <si>
    <t>20231114-0062</t>
  </si>
  <si>
    <t>Call to Action auf mobiler Version oben</t>
  </si>
  <si>
    <t xml:space="preserve">Ist es mÃ¶glich, dass dder Call to Action Teaser fÃ¼r die Anmeldung oben an der Seite angezeigt wird auf mobilen GerÃ¤ten? 
</t>
  </si>
  <si>
    <t>Damit wir das grundsÃ¤tzliche VerstÃ¤ndnis haben, sprichst du in deinem Fall von dem Item "InfoVeranstaltungen Aus-/Weiterbildungen", welches nicht auf der Mobile Version ersichtlich ist.
Den Call-to-Action-Teaser wird auf der Mobile Version angezeigt, jedoch wie du bereits gemerkt hast, ganz unten. Das hat mit dem Responsive Design zu tun.
Â 
Das InfoVeranstaltungs-Item wurde nur fÃ¼r Desktop entwickelt, um die Veranstaltungen besser hervor heben zu kÃ¶nnen.
In deinem Fall hast du den Link zu den Veranstaltungen in der gelben InfoBox ebenfalls drinnen. Aus diesem Grund, wÃ¤re dieses Item eh Ã¼berflÃ¼ssig, weil es dann ja auch noch in der Factslist steht.
Â </t>
  </si>
  <si>
    <t>Ja, es ist mÃ¶glich, einen Call to Action Teaser auf mobilen GerÃ¤ten oben an der Seite anzuzeigen. DafÃ¼r kann im Backend von Sitecore der zusÃ¤tzliche mobile Call-to-Action konfiguriert werden. Es gibt eine Checkbox, die bestimmt, ob kontextabhÃ¤ngige Informationen aus Evento auch beim zusÃ¤tzlichen mobilen Call-to-Action angezeigt werden sollen, sofern eine Evento-ID hinterlegt wurde. Falls keine Evento-ID hinterlegt ist oder die Checkbox nicht aktiviert ist, kann ein manueller Link fÃ¼r den mobilen Call-to-Action eingegeben werden. Bei der Gestaltung des mobilen Call-to-Action kann auch eine Hintergrundfarbe, wie zum Beispiel Magenta oder Darkblue, ausgewÃ¤hlt werden.
Weitere Details zur Einrichtung und zu den Optionen des mobilen Call-to-Action Teasers findest du in diesem [Webhelp-Artikel](https://applsupport.hslu.ch/webhelp/hm_links_der_linkliste_zuweisen.htm).</t>
  </si>
  <si>
    <t>20231115-0018</t>
  </si>
  <si>
    <t>Integration Logos auf Webseite</t>
  </si>
  <si>
    <t>Die HSLU lanciert im Januar 2024 zusammen mit der PH Luzern und der Uni Luzern einen Studiengang fÃ¼r GeflÃ¼chtete, wobei der Lead bei der HSLU liegt. Ich habe den Auftrag erhalten, eine Seite aufzusetzen und die Frage ist nun, ob es mÃ¶glich ist, die Logos der PH und Uni neben dem HSLU-Logo ganz oben zu ergÃ¤nzen? Mein Auftraggeber ist das International Office DACH und die Seite soll unter diesem Menureiter integriert werden.</t>
  </si>
  <si>
    <t>Leider kann das Einsetzten von anderen Logos im Header nicht funktionieren.
Sonst mÃ¼sste man das Gobal Ã¤ndern und da es nur fÃ¼r eine Seite ist, empfehle ich dir die Logos einfach auf der Seite an und fÃ¼r sich einzubauen.
Tanja meinte es wÃ¤re hÃ¶chstens noch mÃ¶glich die Logos im Footer einzusetzen.</t>
  </si>
  <si>
    <t>20231116-0055</t>
  </si>
  <si>
    <t>Sitecore Unterbruch</t>
  </si>
  <si>
    <t xml:space="preserve">wie lange dauert der Unterbruch von Sitecore denn? Und findet der 12.00 Uhr Publish statt?
</t>
  </si>
  <si>
    <t>Der Unterbruch dauert in der Regel ca. 1-1.5 h. Aber das ist stark davon abhÃ¤ngig, ob alles nach Plan verlÃ¤uft. Die Meldung zu den regelmÃ¤ssigen UnterbrÃ¼chen sind auf Inside drauf:
Â https://inside.hslu.ch/fs/it/gap/Seiten/InfoWiki/Sitecore.aspx
Â 
Bis Mittag wird es sicher durch sein und das Publishing findet ebenfalls ganz normal statt.</t>
  </si>
  <si>
    <t>20231123-0064</t>
  </si>
  <si>
    <t>GelÃ¶st</t>
  </si>
  <si>
    <t>Website wiederherstellen</t>
  </si>
  <si>
    <t xml:space="preserve">Aus unbekannten GrÃ¼nden wurde diese Nacht beim Up-Date fast meinen ganzen Webinhalt gelÃ¶scht. KÃ¶nnt ihr bitte die Seite wieder zum Zustand von gestern Nachmittag herstellen. Es handelt sich um folgende Seite:
https://www.hslu.ch/en/lucerne-school-of-art-and-design/events/veranstaltungen/2023/12/15/figuring-the-invisible/
Â 
Und bitte ganz dringend, die Anmeldungen laufen, die Tagung ist in wenigen Wochen!
</t>
  </si>
  <si>
    <t>Wenn die Fehler bei den EN und DE Items nicht behoben werden, kann es immer wieder zu Fehlern kommen. Mal wird es ein paar Tage ordentlich aussehen und dann kann es sich wieder Ã¤ndern.
Â 
BezÃ¼glich der Customer Journey wÃ¼rde ich euch zudem empfehlen und an die WebGovernance erinnern, dass auf deutschen Seiten deutscher Inhalt und auf englischen Seiten englischer Inhalt integriert werden soll. 
Â </t>
  </si>
  <si>
    <t>Basierend auf den bereitgestellten Informationen aus den WEBHELP-ARTIKELN und den ÄHNLICHEN FRAGEN UND DAZUGEHÖRIGEN ANTWORTEN, könnten folgende Schritte hilfreich sein, um das Problem mit deiner Webseite zu lösen:
Überprüfung der Sprachversionen: Stelle sicher, dass die Inhalte in allen Sprachversionen der Seite vorhanden sind. Wenn Inhalte nur in einer Sprache existieren, können sie bei einem Update gelöscht werden.
Publishing-Einstellungen: Überprüfe die Publishing-Einstellungen deiner Seite. Gehe dazu im Experience Editor auf "Campus &gt; Publish Options" und stelle sicher, dass die Seite richtig konfiguriert ist, um publiziert zu werden.
Erstellung von Sprachversionen: Wenn Elemente in einer Sprachversion fehlen, erstelle diese entsprechend. Eine Anleitung dazu findest du hier.
Überprüfung von Links und Teasern: Stelle sicher, dass alle Links und Teaser auf der Seite korrekt eingestellt sind. Dies ist besonders wichtig, wenn Inhalte nur in einer Sprachversion vorhanden sind.
Kontaktaufnahme mit dem Websupport: Wenn du die Seite nicht selbst wiederherstellen kannst, kontaktiere den Websupport unter websupport@hslu.ch für weitere Unterstützung.</t>
  </si>
  <si>
    <t>20231124-0057</t>
  </si>
  <si>
    <t>Banner IFM Webseiten englisch - entfernen</t>
  </si>
  <si>
    <t>Bei uns auf der IFM-Homepage erscheint auf den englischsprachigen Seiten (z.B. Majors, Modules,Time Models - International Financial Management | Lucerne University of Applied Sciences and Arts (hslu.ch)) folgender Banner: "some content is only available in german"
Das ist falsch, denn die Seiten sind vollstÃ¤ndig und der Banner soll dringend entfernt werden. Â </t>
  </si>
  <si>
    <t xml:space="preserve">Der Banner kann nicht entfernt werden. Das ist automatisiert. Wenn noch auf irgendeine Weise deutscher Text erkannt wird, dann erscheint auch dieses Banner. Beispielsweise sind bei den meisten keine Alt-Texte hinterlegt. So wird der Dateiname genommen, der teilweise noch auf Deutsch ist. </t>
  </si>
  <si>
    <t>Um den Hinweis "Some content is only available in German" von den englischsprachigen Seiten zu entfernen, solltest du prÃ¼fen, ob wirklich jedes Element auf der Seite eine englische Version hat. Dies beinhaltet Texte, Bilder (inklusive Alt-Texte) und PDFs. Auch wenn du sicher bist, dass alles Ã¼bersetzt ist, kÃ¶nnte es Elemente geben, die noch keine englische Version haben. Im Backend kannst du jedes Element durchgehen und Ã¼berprÃ¼fen, welche Items noch keine englische Version besitzen. Oft ist es so, dass beispielsweise der Kontaktteaser zwar auf Englisch korrekt erscheint, aber noch keine englische Version im Backend erstellt wurde, was Sitecore als fehlende Ãœbersetzung interpretiert. Dasselbe gilt fÃ¼r PDFs, die nur in einer Sprachversion vorhanden sind.
Um eine englische Version eines Elements zu erstellen, wechsle in der Media Library zu dem Item, das aktualisiert werden soll, Ã¤ndere die Sprache oben rechts auf Englisch und hÃ¤nge dann das entsprechende englische Dokument oder Bild an. Nachdem du dies fÃ¼r alle relevanten Elemente getan hast, sollte der Hinweis nicht mehr erscheinen. Hier findest du detaillierte Anweisungen zum Erstellen einer englischen Version eines Elements: [Englische Version eines Elements erstellen](https://applsupport.hslu.ch/webhelp/hm_sprachversion.htm?zoom_highlightsub=englische+version).
Wenn du jedoch alle Elemente Ã¼berprÃ¼ft hast und dennoch der Hinweis erscheint, kÃ¶nnte es ein technisches Problem geben, das vom Web-Support-Team geprÃ¼ft werden muss. In diesem Fall solltest du dich an den Support wenden, um das Problem zu melden und um weitere Hilfe zu bitten.</t>
  </si>
  <si>
    <t>20231128-0015</t>
  </si>
  <si>
    <t>Seite Anmeldeverfahren</t>
  </si>
  <si>
    <t>Wir mÃ¶chten gerne auf den Anmeldeseiten wie z.B. dieser https://www.hslu.ch/de-ch/hochschule-luzern/informationen-online-anmeldung-dk-ba-ma-vk/?prf=ab&amp;eid=172404 links nach dem Introtext einen Link zu der Ãœbersichtsseite der Aufnahmeverfahren https://www.hslu.ch/de-ch/design-kunst/studium/informationen-fuer-studieninteressierte/aufnahmeverfahren-und-zulassungsbedingungen/ einfÃ¼gen. 
Wer bearbeitet diese Seiten?
Â </t>
  </si>
  <si>
    <t xml:space="preserve">Hier findet ihr ein eListe mit ZustÃ¤ndigkeiten: https://inside.hslu.ch/mk/Seiten/InfoWiki/Webseite.aspx).
</t>
  </si>
  <si>
    <t>Die Personen, die fÃ¼r die Bearbeitung von Seiten auf der Website der Hochschule Luzern verantwortlich sind, kÃ¶nnen im Intranet der Hochschule eingesehen werden. Du kannst dort nachschauen, wer fÃ¼r die spezifischen Seiten zustÃ¤ndig ist. Hier findest du die Liste mit ZustÃ¤ndigkeiten: [Intranet HSLU](https://intranet.hslu.ch/rektoratservices/mk/Seiten/InfoWiki/Website.aspx).
Um einen Link auf einer Anmeldeseite einzufÃ¼gen, mÃ¼ssen die Verantwortlichen die entsprechenden Ã„nderungen im CMS Sitecore vornehmen. Wenn du selbst die erforderlichen Berechtigungen hast, kannst du dich in Sitecore einloggen und die Ã„nderungen vornehmen. Ansonsten solltest du dich an die zustÃ¤ndige Person oder das Webteam wenden.
Leider kann ich keine spezifischen Anleitungen zum EinfÃ¼gen eines Links auf der Anmeldeseite geben, da hierzu keine Informationen in den bereitgestellten Webhelp-Artikeln vorhanden sind.</t>
  </si>
  <si>
    <t>week</t>
  </si>
  <si>
    <t>week_nr_formula</t>
  </si>
  <si>
    <t>number of correct answers</t>
  </si>
  <si>
    <t>number of questions</t>
  </si>
  <si>
    <t>minutes spared</t>
  </si>
  <si>
    <t>month_nr</t>
  </si>
  <si>
    <t>month</t>
  </si>
  <si>
    <t>sep</t>
  </si>
  <si>
    <t>oct</t>
  </si>
  <si>
    <t>nov</t>
  </si>
  <si>
    <t>total</t>
  </si>
  <si>
    <t>Die Fehlermeldung beim Abspeichern von Bildern kann verschiedene Ursachen haben, die du überprüfen solltest:
1. Bildgrösse: Das Bild muss auf die richtige Grösse zugeschnitten und progressiv gespeichert werden. Überprüfe, ob die Abmessungen und die Auflösung des Bildes den Anforderungen entsprechen. Informationen dazu findest du [hier](https://applsupport.hslu.ch/webhelp/hm_photoshop.htm) und [hier](https://applsupport.hslu.ch/webhelp/hm_bilder.htm).
2. Namenskonvention: Stelle sicher, dass der Dateiname des Bildes keine Sonderzeichen oder Umlaute enthält und klar angibt, was das Bild darstellt. Weitere Informationen zur Namenskonvention findest du [hier](https://applsupport.hslu.ch/webhelp/hm_bilder.htm).
3. Alt-Text: Jedes auf der Website dargestellte Bild muss mit einem Alt-Text versehen werden, um die Barrierefreiheit zu gewährleisten. Stelle sicher, dass der Alt-Text eine präzise Beschreibung des Bildinhalts enthält. Weitere Informationen findest du [hier](https://applsupport.hslu.ch/webhelp/hm_bilder.htm).
Wenn du alle diese Punkte überprüft hast und die Fehlermeldung weiterhin erscheint, wende dich an den Support, um weitere Unterstützung zu erhalten.</t>
  </si>
  <si>
    <t>20230901-0112</t>
  </si>
  <si>
    <t>SiteUpdate BSc BA und IBA</t>
  </si>
  <si>
    <t>Shortcuts / Adminarbeiten</t>
  </si>
  <si>
    <t>1.02</t>
  </si>
  <si>
    <t xml:space="preserve">Wäre es möglich die beiden Seiten (DE und EN) neu upzudaten.
Heute geht eine Infomail an Studis raus und es waren offenbar falsche Modulübersichten verlinkt.
Um folgende Seiten geht es:
https://www.hslu.ch/de-ch/wirtschaft/studium/bachelor/business-administration/
https://www.hslu.ch/de-ch/wirtschaft/studium/bachelor/international-business-administration/
https://www.hslu.ch/en/lucerne-school-of-business/degree-programmes/bachelor/international-business-administration/
</t>
  </si>
  <si>
    <t xml:space="preserve">Alle 3 Seiten wurden erneut veröffentlicht.
</t>
  </si>
  <si>
    <t>Die Seite wird jeweils um 12.05 und 00.05 veröffentlicht. Mitarbeiter/innen Marketing haben zusätzlich die Möglichkeit von 'Publish My Changes'.</t>
  </si>
  <si>
    <t>intent</t>
  </si>
  <si>
    <t>ONLA</t>
  </si>
  <si>
    <t>publishing</t>
  </si>
  <si>
    <t>infobox_delete</t>
  </si>
  <si>
    <t>site not published</t>
  </si>
  <si>
    <t>site copy</t>
  </si>
  <si>
    <t>factlist</t>
  </si>
  <si>
    <t>rich text teaser</t>
  </si>
  <si>
    <t>picture_error</t>
  </si>
  <si>
    <t>warning_some_content_is_only_available_in_german</t>
  </si>
  <si>
    <t>event not in filterlist</t>
  </si>
  <si>
    <t>responsibility website</t>
  </si>
  <si>
    <t>intent-less_evaluation</t>
  </si>
  <si>
    <t>intent-based evaluation</t>
  </si>
  <si>
    <t>correct_escalation</t>
  </si>
  <si>
    <t>total min spared per week</t>
  </si>
  <si>
    <t>average min spared per week</t>
  </si>
  <si>
    <t>average min speared per week</t>
  </si>
  <si>
    <t>Intent-less Chatbot</t>
  </si>
  <si>
    <t>Intent-based Chatbot</t>
  </si>
  <si>
    <t>total time saved</t>
  </si>
  <si>
    <t>average time saved per month</t>
  </si>
  <si>
    <t>FTE weekly basis</t>
  </si>
  <si>
    <t>FTE monthly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</si>
</sst>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0" formatCode="dd\.mm\.yyyy\ hh:mm"/>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A2639"/>
        <bgColor indexed="64"/>
      </patternFill>
    </fill>
    <fill>
      <patternFill patternType="solid">
        <fgColor rgb="FF3E4A61"/>
        <bgColor indexed="64"/>
      </patternFill>
    </fill>
    <fill>
      <patternFill patternType="solid">
        <fgColor rgb="FFC24D2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cellStyleXfs>
  <cellXfs count="18">
    <xf numFmtId="0" fontId="0" fillId="0" borderId="0" xfId="0"/>
    <xf numFmtId="0" fontId="0" fillId="0" borderId="0" xfId="0" applyAlignment="1">
      <alignment wrapText="1"/>
    </xf>
    <xf numFmtId="22" fontId="0" fillId="0" borderId="0" xfId="0" applyNumberFormat="1"/>
    <xf numFmtId="0" fontId="0" fillId="0" borderId="0" xfId="0" applyNumberFormat="1"/>
    <xf numFmtId="170" fontId="0" fillId="0" borderId="0" xfId="0" applyNumberFormat="1"/>
    <xf numFmtId="22" fontId="18" fillId="0" borderId="0" xfId="0" applyNumberFormat="1" applyFont="1"/>
    <xf numFmtId="0" fontId="19" fillId="0" borderId="0" xfId="42" applyAlignment="1">
      <alignment wrapText="1"/>
    </xf>
    <xf numFmtId="0" fontId="19" fillId="0" borderId="0" xfId="42"/>
    <xf numFmtId="0" fontId="19" fillId="0" borderId="0" xfId="42" applyFill="1"/>
    <xf numFmtId="22" fontId="19" fillId="0" borderId="0" xfId="42" applyNumberFormat="1"/>
    <xf numFmtId="0" fontId="17" fillId="33" borderId="0" xfId="0" applyFont="1" applyFill="1" applyAlignment="1">
      <alignment horizontal="center"/>
    </xf>
    <xf numFmtId="0" fontId="17" fillId="34" borderId="0" xfId="0" applyFont="1" applyFill="1" applyAlignment="1">
      <alignment horizontal="center"/>
    </xf>
    <xf numFmtId="0" fontId="0" fillId="35" borderId="0" xfId="0" applyFill="1"/>
    <xf numFmtId="0" fontId="17" fillId="34" borderId="0" xfId="0" applyFont="1" applyFill="1" applyAlignment="1">
      <alignment horizontal="left"/>
    </xf>
    <xf numFmtId="0" fontId="17" fillId="34" borderId="0" xfId="0" applyFont="1" applyFill="1"/>
    <xf numFmtId="170" fontId="0" fillId="35" borderId="0" xfId="0" applyNumberFormat="1" applyFill="1"/>
    <xf numFmtId="170" fontId="17" fillId="34" borderId="0" xfId="0" applyNumberFormat="1" applyFont="1" applyFill="1"/>
    <xf numFmtId="0" fontId="0" fillId="35" borderId="0" xfId="0" applyFill="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24D2C"/>
      <color rgb="FF3E4A61"/>
      <color rgb="FF1A26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30"/>
  <sheetViews>
    <sheetView zoomScale="69" workbookViewId="0">
      <selection activeCell="I1" sqref="I1"/>
    </sheetView>
  </sheetViews>
  <sheetFormatPr defaultRowHeight="14.5" x14ac:dyDescent="0.35"/>
  <cols>
    <col min="2" max="2" width="24.26953125" customWidth="1"/>
    <col min="8" max="8" width="22.08984375" customWidth="1"/>
    <col min="9" max="9" width="21.81640625" customWidth="1"/>
    <col min="11" max="11" width="8.81640625" customWidth="1"/>
    <col min="12" max="12" width="16.90625" style="3" bestFit="1" customWidth="1"/>
    <col min="13" max="13" width="16.36328125" customWidth="1"/>
    <col min="14" max="15" width="9.90625" customWidth="1"/>
    <col min="18" max="18" width="8.81640625" bestFit="1" customWidth="1"/>
  </cols>
  <sheetData>
    <row r="1" spans="1:17" x14ac:dyDescent="0.35">
      <c r="B1" t="s">
        <v>0</v>
      </c>
      <c r="C1" t="s">
        <v>1</v>
      </c>
      <c r="D1" t="s">
        <v>2</v>
      </c>
      <c r="E1" t="s">
        <v>3</v>
      </c>
      <c r="F1" t="s">
        <v>4</v>
      </c>
      <c r="G1" t="s">
        <v>5</v>
      </c>
      <c r="H1" t="s">
        <v>182</v>
      </c>
      <c r="I1" t="s">
        <v>183</v>
      </c>
      <c r="J1" t="s">
        <v>6</v>
      </c>
      <c r="K1" t="s">
        <v>7</v>
      </c>
      <c r="L1" s="3" t="s">
        <v>8</v>
      </c>
      <c r="M1" t="s">
        <v>152</v>
      </c>
      <c r="N1" s="3" t="s">
        <v>156</v>
      </c>
      <c r="O1" s="3" t="s">
        <v>170</v>
      </c>
      <c r="P1" t="s">
        <v>9</v>
      </c>
      <c r="Q1" t="s">
        <v>10</v>
      </c>
    </row>
    <row r="2" spans="1:17" ht="409.5" x14ac:dyDescent="0.35">
      <c r="A2">
        <v>0</v>
      </c>
      <c r="B2" t="s">
        <v>11</v>
      </c>
      <c r="C2" t="s">
        <v>12</v>
      </c>
      <c r="D2" t="s">
        <v>13</v>
      </c>
      <c r="E2" s="1" t="s">
        <v>14</v>
      </c>
      <c r="F2" s="1" t="s">
        <v>15</v>
      </c>
      <c r="G2" s="1" t="s">
        <v>16</v>
      </c>
      <c r="H2" t="s">
        <v>17</v>
      </c>
      <c r="I2" s="1" t="s">
        <v>184</v>
      </c>
      <c r="J2" t="s">
        <v>18</v>
      </c>
      <c r="K2">
        <v>5.15</v>
      </c>
      <c r="L2" s="5">
        <v>45170.445138888892</v>
      </c>
      <c r="M2">
        <f>WEEKNUM(L2)</f>
        <v>35</v>
      </c>
      <c r="N2" s="3">
        <f>MONTH(L2)</f>
        <v>9</v>
      </c>
      <c r="O2" s="3" t="s">
        <v>171</v>
      </c>
      <c r="P2" t="s">
        <v>19</v>
      </c>
      <c r="Q2" t="s">
        <v>20</v>
      </c>
    </row>
    <row r="3" spans="1:17" ht="409.5" hidden="1" x14ac:dyDescent="0.35">
      <c r="A3">
        <v>1</v>
      </c>
      <c r="B3" s="7" t="s">
        <v>163</v>
      </c>
      <c r="C3" s="7" t="s">
        <v>12</v>
      </c>
      <c r="D3" s="7" t="s">
        <v>164</v>
      </c>
      <c r="E3" s="6" t="s">
        <v>167</v>
      </c>
      <c r="F3" s="6" t="s">
        <v>168</v>
      </c>
      <c r="G3" s="8" t="s">
        <v>169</v>
      </c>
      <c r="H3" t="s">
        <v>17</v>
      </c>
      <c r="I3" t="b">
        <v>0</v>
      </c>
      <c r="J3" s="7" t="s">
        <v>165</v>
      </c>
      <c r="K3" s="7" t="s">
        <v>166</v>
      </c>
      <c r="L3" s="9">
        <v>45170.56527777778</v>
      </c>
      <c r="M3">
        <f>WEEKNUM(L3)</f>
        <v>35</v>
      </c>
      <c r="N3" s="3">
        <f>MONTH(L3)</f>
        <v>9</v>
      </c>
      <c r="O3" s="3"/>
      <c r="P3" s="7" t="s">
        <v>19</v>
      </c>
      <c r="Q3" s="7" t="s">
        <v>20</v>
      </c>
    </row>
    <row r="4" spans="1:17" ht="409.5" hidden="1" x14ac:dyDescent="0.35">
      <c r="A4">
        <v>2</v>
      </c>
      <c r="B4" t="s">
        <v>21</v>
      </c>
      <c r="C4" t="s">
        <v>12</v>
      </c>
      <c r="D4" t="s">
        <v>22</v>
      </c>
      <c r="E4" s="1" t="s">
        <v>23</v>
      </c>
      <c r="F4" s="1" t="s">
        <v>24</v>
      </c>
      <c r="G4" t="s">
        <v>25</v>
      </c>
      <c r="H4" t="s">
        <v>17</v>
      </c>
      <c r="I4" t="b">
        <v>0</v>
      </c>
      <c r="J4" t="s">
        <v>18</v>
      </c>
      <c r="K4">
        <v>37.5</v>
      </c>
      <c r="L4" s="2">
        <v>45174.615277777775</v>
      </c>
      <c r="M4">
        <f>WEEKNUM(L4)</f>
        <v>36</v>
      </c>
      <c r="N4" s="3">
        <f t="shared" ref="N4:N30" si="0">MONTH(L4)</f>
        <v>9</v>
      </c>
      <c r="O4" s="3"/>
      <c r="P4" t="s">
        <v>19</v>
      </c>
      <c r="Q4" t="s">
        <v>20</v>
      </c>
    </row>
    <row r="5" spans="1:17" ht="409.5" x14ac:dyDescent="0.35">
      <c r="A5">
        <v>3</v>
      </c>
      <c r="B5" t="s">
        <v>26</v>
      </c>
      <c r="C5" t="s">
        <v>12</v>
      </c>
      <c r="D5" t="s">
        <v>27</v>
      </c>
      <c r="E5" s="1" t="s">
        <v>28</v>
      </c>
      <c r="F5" t="s">
        <v>29</v>
      </c>
      <c r="G5" t="s">
        <v>25</v>
      </c>
      <c r="H5" t="s">
        <v>17</v>
      </c>
      <c r="I5" t="s">
        <v>184</v>
      </c>
      <c r="J5" t="s">
        <v>18</v>
      </c>
      <c r="K5">
        <v>7.47</v>
      </c>
      <c r="L5" s="2">
        <v>45175.652083333334</v>
      </c>
      <c r="M5">
        <f>WEEKNUM(L5)</f>
        <v>36</v>
      </c>
      <c r="N5" s="3">
        <f t="shared" si="0"/>
        <v>9</v>
      </c>
      <c r="O5" s="3"/>
      <c r="P5" t="s">
        <v>19</v>
      </c>
      <c r="Q5" t="s">
        <v>20</v>
      </c>
    </row>
    <row r="6" spans="1:17" ht="409.5" x14ac:dyDescent="0.35">
      <c r="A6">
        <v>4</v>
      </c>
      <c r="B6" t="s">
        <v>30</v>
      </c>
      <c r="C6" t="s">
        <v>12</v>
      </c>
      <c r="D6" t="s">
        <v>31</v>
      </c>
      <c r="E6" s="1" t="s">
        <v>32</v>
      </c>
      <c r="F6" s="1" t="s">
        <v>33</v>
      </c>
      <c r="G6" t="s">
        <v>34</v>
      </c>
      <c r="H6" t="s">
        <v>17</v>
      </c>
      <c r="I6" t="s">
        <v>184</v>
      </c>
      <c r="J6" t="s">
        <v>18</v>
      </c>
      <c r="K6">
        <v>2.6</v>
      </c>
      <c r="L6" s="2">
        <v>45176.420138888891</v>
      </c>
      <c r="M6">
        <f>WEEKNUM(L6)</f>
        <v>36</v>
      </c>
      <c r="N6" s="3">
        <f t="shared" si="0"/>
        <v>9</v>
      </c>
      <c r="O6" s="3" t="s">
        <v>172</v>
      </c>
      <c r="P6" t="s">
        <v>19</v>
      </c>
      <c r="Q6" t="s">
        <v>20</v>
      </c>
    </row>
    <row r="7" spans="1:17" ht="409.5" hidden="1" x14ac:dyDescent="0.35">
      <c r="A7">
        <v>5</v>
      </c>
      <c r="B7" t="s">
        <v>35</v>
      </c>
      <c r="C7" t="s">
        <v>12</v>
      </c>
      <c r="D7" t="s">
        <v>36</v>
      </c>
      <c r="E7" s="1" t="s">
        <v>37</v>
      </c>
      <c r="F7" s="1" t="s">
        <v>38</v>
      </c>
      <c r="G7" s="1" t="s">
        <v>39</v>
      </c>
      <c r="H7" t="s">
        <v>17</v>
      </c>
      <c r="I7" s="1" t="s">
        <v>17</v>
      </c>
      <c r="J7" t="s">
        <v>18</v>
      </c>
      <c r="K7">
        <v>3.56</v>
      </c>
      <c r="L7" s="2">
        <v>45180.45208333333</v>
      </c>
      <c r="M7">
        <f>WEEKNUM(L7)</f>
        <v>37</v>
      </c>
      <c r="N7" s="3">
        <f t="shared" si="0"/>
        <v>9</v>
      </c>
      <c r="O7" s="3" t="s">
        <v>173</v>
      </c>
      <c r="P7" t="s">
        <v>19</v>
      </c>
      <c r="Q7" t="s">
        <v>20</v>
      </c>
    </row>
    <row r="8" spans="1:17" ht="409.5" hidden="1" x14ac:dyDescent="0.35">
      <c r="A8">
        <v>6</v>
      </c>
      <c r="B8" t="s">
        <v>40</v>
      </c>
      <c r="C8" t="s">
        <v>12</v>
      </c>
      <c r="D8" t="s">
        <v>41</v>
      </c>
      <c r="E8" s="1" t="s">
        <v>42</v>
      </c>
      <c r="F8" s="1" t="s">
        <v>43</v>
      </c>
      <c r="G8" s="1" t="s">
        <v>44</v>
      </c>
      <c r="H8" t="s">
        <v>17</v>
      </c>
      <c r="I8" t="b">
        <v>0</v>
      </c>
      <c r="J8" t="s">
        <v>18</v>
      </c>
      <c r="K8">
        <v>12.94</v>
      </c>
      <c r="L8" s="2">
        <v>45181.469444444447</v>
      </c>
      <c r="M8">
        <f>WEEKNUM(L8)</f>
        <v>37</v>
      </c>
      <c r="N8" s="3">
        <f t="shared" si="0"/>
        <v>9</v>
      </c>
      <c r="O8" s="3"/>
      <c r="P8" t="s">
        <v>19</v>
      </c>
      <c r="Q8" t="s">
        <v>20</v>
      </c>
    </row>
    <row r="9" spans="1:17" ht="409.5" hidden="1" x14ac:dyDescent="0.35">
      <c r="A9">
        <v>7</v>
      </c>
      <c r="B9" t="s">
        <v>45</v>
      </c>
      <c r="C9" t="s">
        <v>12</v>
      </c>
      <c r="D9" t="s">
        <v>46</v>
      </c>
      <c r="E9" s="1" t="s">
        <v>47</v>
      </c>
      <c r="F9" s="1" t="s">
        <v>48</v>
      </c>
      <c r="G9" s="1" t="s">
        <v>49</v>
      </c>
      <c r="H9" t="b">
        <v>0</v>
      </c>
      <c r="I9" t="b">
        <v>0</v>
      </c>
      <c r="J9" t="s">
        <v>18</v>
      </c>
      <c r="K9">
        <v>10.09</v>
      </c>
      <c r="L9" s="2">
        <v>45181.63958333333</v>
      </c>
      <c r="M9">
        <f>WEEKNUM(L9)</f>
        <v>37</v>
      </c>
      <c r="N9" s="3">
        <f t="shared" si="0"/>
        <v>9</v>
      </c>
      <c r="O9" s="3"/>
      <c r="P9" t="s">
        <v>19</v>
      </c>
      <c r="Q9" t="s">
        <v>20</v>
      </c>
    </row>
    <row r="10" spans="1:17" ht="409.5" hidden="1" x14ac:dyDescent="0.35">
      <c r="A10">
        <v>8</v>
      </c>
      <c r="B10" t="s">
        <v>50</v>
      </c>
      <c r="C10" t="s">
        <v>12</v>
      </c>
      <c r="D10" t="s">
        <v>51</v>
      </c>
      <c r="E10" t="s">
        <v>52</v>
      </c>
      <c r="F10" t="s">
        <v>53</v>
      </c>
      <c r="G10" s="1" t="s">
        <v>54</v>
      </c>
      <c r="H10" t="s">
        <v>17</v>
      </c>
      <c r="I10" t="s">
        <v>17</v>
      </c>
      <c r="J10" t="s">
        <v>18</v>
      </c>
      <c r="K10">
        <v>4.43</v>
      </c>
      <c r="L10" s="2">
        <v>45189.902777777781</v>
      </c>
      <c r="M10">
        <f>WEEKNUM(L10)</f>
        <v>38</v>
      </c>
      <c r="N10" s="3">
        <f t="shared" si="0"/>
        <v>9</v>
      </c>
      <c r="O10" s="3" t="s">
        <v>174</v>
      </c>
      <c r="P10" t="s">
        <v>19</v>
      </c>
      <c r="Q10" t="s">
        <v>20</v>
      </c>
    </row>
    <row r="11" spans="1:17" ht="409.5" x14ac:dyDescent="0.35">
      <c r="A11">
        <v>9</v>
      </c>
      <c r="B11" t="s">
        <v>55</v>
      </c>
      <c r="C11" t="s">
        <v>12</v>
      </c>
      <c r="D11" t="s">
        <v>56</v>
      </c>
      <c r="E11" s="1" t="s">
        <v>57</v>
      </c>
      <c r="F11" s="1" t="s">
        <v>58</v>
      </c>
      <c r="G11" s="1" t="s">
        <v>59</v>
      </c>
      <c r="H11" t="s">
        <v>17</v>
      </c>
      <c r="I11" s="1" t="s">
        <v>184</v>
      </c>
      <c r="J11" t="s">
        <v>18</v>
      </c>
      <c r="K11">
        <v>8.75</v>
      </c>
      <c r="L11" s="2">
        <v>45190.489583333336</v>
      </c>
      <c r="M11">
        <f>WEEKNUM(L11)</f>
        <v>38</v>
      </c>
      <c r="N11" s="3">
        <f t="shared" si="0"/>
        <v>9</v>
      </c>
      <c r="O11" s="3" t="s">
        <v>175</v>
      </c>
      <c r="P11" t="s">
        <v>19</v>
      </c>
      <c r="Q11" t="s">
        <v>20</v>
      </c>
    </row>
    <row r="12" spans="1:17" ht="409.5" hidden="1" x14ac:dyDescent="0.35">
      <c r="A12">
        <v>10</v>
      </c>
      <c r="B12" t="s">
        <v>60</v>
      </c>
      <c r="C12" t="s">
        <v>12</v>
      </c>
      <c r="D12" t="s">
        <v>61</v>
      </c>
      <c r="E12" s="1" t="s">
        <v>62</v>
      </c>
      <c r="F12" s="1" t="s">
        <v>63</v>
      </c>
      <c r="G12" t="s">
        <v>25</v>
      </c>
      <c r="H12" t="b">
        <v>0</v>
      </c>
      <c r="I12" t="s">
        <v>17</v>
      </c>
      <c r="J12" t="s">
        <v>18</v>
      </c>
      <c r="K12">
        <v>4.18</v>
      </c>
      <c r="L12" s="2">
        <v>45194.581250000003</v>
      </c>
      <c r="M12">
        <f>WEEKNUM(L12)</f>
        <v>39</v>
      </c>
      <c r="N12" s="3">
        <f t="shared" si="0"/>
        <v>9</v>
      </c>
      <c r="O12" s="3"/>
      <c r="P12" t="s">
        <v>19</v>
      </c>
      <c r="Q12" t="s">
        <v>20</v>
      </c>
    </row>
    <row r="13" spans="1:17" ht="409.5" hidden="1" x14ac:dyDescent="0.35">
      <c r="A13">
        <v>11</v>
      </c>
      <c r="B13" t="s">
        <v>64</v>
      </c>
      <c r="C13" t="s">
        <v>12</v>
      </c>
      <c r="D13" t="s">
        <v>65</v>
      </c>
      <c r="E13" t="s">
        <v>66</v>
      </c>
      <c r="F13" s="1" t="s">
        <v>67</v>
      </c>
      <c r="G13" t="s">
        <v>68</v>
      </c>
      <c r="H13" t="s">
        <v>17</v>
      </c>
      <c r="I13" t="b">
        <v>0</v>
      </c>
      <c r="J13" t="s">
        <v>18</v>
      </c>
      <c r="K13">
        <v>38.15</v>
      </c>
      <c r="L13" s="2">
        <v>45196.504861111112</v>
      </c>
      <c r="M13">
        <f>WEEKNUM(L13)</f>
        <v>39</v>
      </c>
      <c r="N13" s="3">
        <f t="shared" si="0"/>
        <v>9</v>
      </c>
      <c r="O13" s="3" t="s">
        <v>176</v>
      </c>
      <c r="P13" t="s">
        <v>19</v>
      </c>
      <c r="Q13" t="s">
        <v>20</v>
      </c>
    </row>
    <row r="14" spans="1:17" ht="409.5" hidden="1" x14ac:dyDescent="0.35">
      <c r="A14">
        <v>12</v>
      </c>
      <c r="B14" t="s">
        <v>69</v>
      </c>
      <c r="C14" t="s">
        <v>12</v>
      </c>
      <c r="D14" t="s">
        <v>70</v>
      </c>
      <c r="E14" t="s">
        <v>71</v>
      </c>
      <c r="F14" s="1" t="s">
        <v>72</v>
      </c>
      <c r="G14" t="s">
        <v>25</v>
      </c>
      <c r="H14" t="s">
        <v>17</v>
      </c>
      <c r="I14" t="b">
        <v>0</v>
      </c>
      <c r="J14" t="s">
        <v>18</v>
      </c>
      <c r="K14">
        <v>4.5</v>
      </c>
      <c r="L14" s="2">
        <v>45203.754166666666</v>
      </c>
      <c r="M14">
        <f>WEEKNUM(L14)</f>
        <v>40</v>
      </c>
      <c r="N14" s="3">
        <f t="shared" si="0"/>
        <v>10</v>
      </c>
      <c r="O14" s="3"/>
      <c r="P14" t="s">
        <v>19</v>
      </c>
      <c r="Q14" t="s">
        <v>20</v>
      </c>
    </row>
    <row r="15" spans="1:17" ht="409.5" hidden="1" x14ac:dyDescent="0.35">
      <c r="A15">
        <v>13</v>
      </c>
      <c r="B15" t="s">
        <v>73</v>
      </c>
      <c r="C15" t="s">
        <v>12</v>
      </c>
      <c r="D15" t="s">
        <v>74</v>
      </c>
      <c r="E15" s="1" t="s">
        <v>75</v>
      </c>
      <c r="F15" s="1" t="s">
        <v>76</v>
      </c>
      <c r="G15" s="1" t="s">
        <v>77</v>
      </c>
      <c r="H15" t="s">
        <v>17</v>
      </c>
      <c r="I15" s="1" t="s">
        <v>17</v>
      </c>
      <c r="J15" t="s">
        <v>18</v>
      </c>
      <c r="K15">
        <v>8</v>
      </c>
      <c r="L15" s="2">
        <v>45211.418055555558</v>
      </c>
      <c r="M15">
        <f>WEEKNUM(L15)</f>
        <v>41</v>
      </c>
      <c r="N15" s="3">
        <f t="shared" si="0"/>
        <v>10</v>
      </c>
      <c r="O15" s="3" t="s">
        <v>177</v>
      </c>
      <c r="P15" t="s">
        <v>19</v>
      </c>
      <c r="Q15" t="s">
        <v>20</v>
      </c>
    </row>
    <row r="16" spans="1:17" ht="409.5" hidden="1" x14ac:dyDescent="0.35">
      <c r="A16">
        <v>14</v>
      </c>
      <c r="B16" t="s">
        <v>78</v>
      </c>
      <c r="C16" t="s">
        <v>12</v>
      </c>
      <c r="D16" t="s">
        <v>79</v>
      </c>
      <c r="E16" s="1" t="s">
        <v>80</v>
      </c>
      <c r="F16" t="s">
        <v>81</v>
      </c>
      <c r="G16" s="1" t="s">
        <v>162</v>
      </c>
      <c r="H16" t="s">
        <v>17</v>
      </c>
      <c r="I16" s="1" t="s">
        <v>17</v>
      </c>
      <c r="J16" t="s">
        <v>18</v>
      </c>
      <c r="K16">
        <v>24.24</v>
      </c>
      <c r="L16" s="2">
        <v>45217.371527777781</v>
      </c>
      <c r="M16">
        <f>WEEKNUM(L16)</f>
        <v>42</v>
      </c>
      <c r="N16" s="3">
        <f t="shared" si="0"/>
        <v>10</v>
      </c>
      <c r="O16" s="3" t="s">
        <v>178</v>
      </c>
      <c r="P16" t="s">
        <v>19</v>
      </c>
      <c r="Q16" t="s">
        <v>20</v>
      </c>
    </row>
    <row r="17" spans="1:17" ht="246.5" x14ac:dyDescent="0.35">
      <c r="A17">
        <v>15</v>
      </c>
      <c r="B17" t="s">
        <v>82</v>
      </c>
      <c r="C17" t="s">
        <v>12</v>
      </c>
      <c r="D17" t="s">
        <v>83</v>
      </c>
      <c r="E17" s="1" t="s">
        <v>84</v>
      </c>
      <c r="F17" s="1" t="s">
        <v>85</v>
      </c>
      <c r="G17" t="s">
        <v>86</v>
      </c>
      <c r="H17" t="s">
        <v>17</v>
      </c>
      <c r="I17" t="s">
        <v>184</v>
      </c>
      <c r="J17" t="s">
        <v>18</v>
      </c>
      <c r="K17">
        <v>4.5999999999999996</v>
      </c>
      <c r="L17" s="2">
        <v>45222.505555555559</v>
      </c>
      <c r="M17">
        <f>WEEKNUM(L17)</f>
        <v>43</v>
      </c>
      <c r="N17" s="3">
        <f t="shared" si="0"/>
        <v>10</v>
      </c>
      <c r="O17" s="3"/>
      <c r="P17" t="s">
        <v>19</v>
      </c>
      <c r="Q17" t="s">
        <v>20</v>
      </c>
    </row>
    <row r="18" spans="1:17" ht="409.5" hidden="1" x14ac:dyDescent="0.35">
      <c r="A18">
        <v>16</v>
      </c>
      <c r="B18" t="s">
        <v>87</v>
      </c>
      <c r="C18" t="s">
        <v>12</v>
      </c>
      <c r="D18" t="s">
        <v>88</v>
      </c>
      <c r="E18" t="s">
        <v>89</v>
      </c>
      <c r="F18" s="1" t="s">
        <v>90</v>
      </c>
      <c r="G18" t="s">
        <v>91</v>
      </c>
      <c r="H18" t="s">
        <v>17</v>
      </c>
      <c r="I18" t="b">
        <v>0</v>
      </c>
      <c r="J18" t="s">
        <v>18</v>
      </c>
      <c r="K18">
        <v>61.98</v>
      </c>
      <c r="L18" s="2">
        <v>45224.430555555555</v>
      </c>
      <c r="M18">
        <f>WEEKNUM(L18)</f>
        <v>43</v>
      </c>
      <c r="N18" s="3">
        <f t="shared" si="0"/>
        <v>10</v>
      </c>
      <c r="O18" s="3"/>
      <c r="P18" t="s">
        <v>19</v>
      </c>
      <c r="Q18" t="s">
        <v>20</v>
      </c>
    </row>
    <row r="19" spans="1:17" ht="409.5" hidden="1" x14ac:dyDescent="0.35">
      <c r="A19">
        <v>17</v>
      </c>
      <c r="B19" t="s">
        <v>92</v>
      </c>
      <c r="C19" t="s">
        <v>12</v>
      </c>
      <c r="D19" t="s">
        <v>93</v>
      </c>
      <c r="E19" s="1" t="s">
        <v>94</v>
      </c>
      <c r="F19" s="1" t="s">
        <v>95</v>
      </c>
      <c r="G19" t="s">
        <v>96</v>
      </c>
      <c r="H19" t="s">
        <v>17</v>
      </c>
      <c r="I19" t="b">
        <v>0</v>
      </c>
      <c r="J19" t="s">
        <v>18</v>
      </c>
      <c r="K19">
        <v>0.09</v>
      </c>
      <c r="L19" s="2">
        <v>45224.479166666664</v>
      </c>
      <c r="M19">
        <f>WEEKNUM(L19)</f>
        <v>43</v>
      </c>
      <c r="N19" s="3">
        <f t="shared" si="0"/>
        <v>10</v>
      </c>
      <c r="O19" s="3"/>
      <c r="P19" t="s">
        <v>19</v>
      </c>
      <c r="Q19" t="s">
        <v>20</v>
      </c>
    </row>
    <row r="20" spans="1:17" ht="409.5" hidden="1" x14ac:dyDescent="0.35">
      <c r="A20">
        <v>18</v>
      </c>
      <c r="B20" t="s">
        <v>97</v>
      </c>
      <c r="C20" t="s">
        <v>12</v>
      </c>
      <c r="D20" t="s">
        <v>98</v>
      </c>
      <c r="E20" s="1" t="s">
        <v>99</v>
      </c>
      <c r="F20" s="1" t="s">
        <v>100</v>
      </c>
      <c r="G20" t="s">
        <v>101</v>
      </c>
      <c r="H20" t="s">
        <v>17</v>
      </c>
      <c r="I20" s="1" t="s">
        <v>17</v>
      </c>
      <c r="J20" t="s">
        <v>18</v>
      </c>
      <c r="K20">
        <v>0.36</v>
      </c>
      <c r="L20" s="2">
        <v>45225.693055555559</v>
      </c>
      <c r="M20">
        <f>WEEKNUM(L20)</f>
        <v>43</v>
      </c>
      <c r="N20" s="3">
        <f t="shared" si="0"/>
        <v>10</v>
      </c>
      <c r="O20" s="3" t="s">
        <v>179</v>
      </c>
      <c r="P20" t="s">
        <v>19</v>
      </c>
      <c r="Q20" t="s">
        <v>20</v>
      </c>
    </row>
    <row r="21" spans="1:17" ht="409.5" hidden="1" x14ac:dyDescent="0.35">
      <c r="A21">
        <v>19</v>
      </c>
      <c r="B21" t="s">
        <v>102</v>
      </c>
      <c r="C21" t="s">
        <v>12</v>
      </c>
      <c r="D21" t="s">
        <v>103</v>
      </c>
      <c r="E21" s="1" t="s">
        <v>104</v>
      </c>
      <c r="F21" s="1" t="s">
        <v>105</v>
      </c>
      <c r="G21" t="s">
        <v>106</v>
      </c>
      <c r="H21" t="s">
        <v>17</v>
      </c>
      <c r="I21" t="s">
        <v>17</v>
      </c>
      <c r="J21" t="s">
        <v>18</v>
      </c>
      <c r="K21">
        <v>14.53</v>
      </c>
      <c r="L21" s="2">
        <v>45231.95</v>
      </c>
      <c r="M21">
        <f>WEEKNUM(L21)</f>
        <v>44</v>
      </c>
      <c r="N21" s="3">
        <f t="shared" si="0"/>
        <v>11</v>
      </c>
      <c r="O21" s="3" t="s">
        <v>180</v>
      </c>
      <c r="P21" t="s">
        <v>19</v>
      </c>
      <c r="Q21" t="s">
        <v>20</v>
      </c>
    </row>
    <row r="22" spans="1:17" ht="409.5" x14ac:dyDescent="0.35">
      <c r="A22">
        <v>20</v>
      </c>
      <c r="B22" t="s">
        <v>107</v>
      </c>
      <c r="C22" t="s">
        <v>12</v>
      </c>
      <c r="D22" t="s">
        <v>108</v>
      </c>
      <c r="E22" s="1" t="s">
        <v>109</v>
      </c>
      <c r="F22" s="1" t="s">
        <v>110</v>
      </c>
      <c r="G22" t="s">
        <v>111</v>
      </c>
      <c r="H22" t="s">
        <v>17</v>
      </c>
      <c r="I22" t="s">
        <v>184</v>
      </c>
      <c r="J22" t="s">
        <v>18</v>
      </c>
      <c r="K22">
        <v>12.23</v>
      </c>
      <c r="L22" s="2">
        <v>45232.411805555559</v>
      </c>
      <c r="M22">
        <f>WEEKNUM(L22)</f>
        <v>44</v>
      </c>
      <c r="N22" s="3">
        <f t="shared" si="0"/>
        <v>11</v>
      </c>
      <c r="O22" s="3"/>
      <c r="P22" t="s">
        <v>19</v>
      </c>
      <c r="Q22" t="s">
        <v>20</v>
      </c>
    </row>
    <row r="23" spans="1:17" ht="409.5" hidden="1" x14ac:dyDescent="0.35">
      <c r="A23">
        <v>21</v>
      </c>
      <c r="B23" t="s">
        <v>112</v>
      </c>
      <c r="C23" t="s">
        <v>12</v>
      </c>
      <c r="D23" t="s">
        <v>113</v>
      </c>
      <c r="E23" s="1" t="s">
        <v>114</v>
      </c>
      <c r="F23" s="1" t="s">
        <v>115</v>
      </c>
      <c r="G23" t="s">
        <v>116</v>
      </c>
      <c r="H23" t="s">
        <v>17</v>
      </c>
      <c r="I23" t="b">
        <v>0</v>
      </c>
      <c r="J23" t="s">
        <v>18</v>
      </c>
      <c r="K23">
        <v>1.9</v>
      </c>
      <c r="L23" s="2">
        <v>45233.588194444441</v>
      </c>
      <c r="M23">
        <f>WEEKNUM(L23)</f>
        <v>44</v>
      </c>
      <c r="N23" s="3">
        <f t="shared" si="0"/>
        <v>11</v>
      </c>
      <c r="O23" s="3"/>
      <c r="P23" t="s">
        <v>19</v>
      </c>
      <c r="Q23" t="s">
        <v>20</v>
      </c>
    </row>
    <row r="24" spans="1:17" ht="246.5" x14ac:dyDescent="0.35">
      <c r="A24">
        <v>22</v>
      </c>
      <c r="B24" t="s">
        <v>117</v>
      </c>
      <c r="C24" t="s">
        <v>12</v>
      </c>
      <c r="D24" t="s">
        <v>118</v>
      </c>
      <c r="E24" t="s">
        <v>119</v>
      </c>
      <c r="F24" s="1" t="s">
        <v>120</v>
      </c>
      <c r="G24" t="s">
        <v>121</v>
      </c>
      <c r="H24" t="b">
        <v>0</v>
      </c>
      <c r="I24" t="s">
        <v>184</v>
      </c>
      <c r="J24" t="s">
        <v>18</v>
      </c>
      <c r="K24">
        <v>29.62</v>
      </c>
      <c r="L24" s="2">
        <v>45237.428472222222</v>
      </c>
      <c r="M24">
        <f>WEEKNUM(L24)</f>
        <v>45</v>
      </c>
      <c r="N24" s="3">
        <f t="shared" si="0"/>
        <v>11</v>
      </c>
      <c r="O24" s="3" t="s">
        <v>180</v>
      </c>
      <c r="P24" t="s">
        <v>19</v>
      </c>
      <c r="Q24" t="s">
        <v>20</v>
      </c>
    </row>
    <row r="25" spans="1:17" ht="409.5" x14ac:dyDescent="0.35">
      <c r="A25">
        <v>23</v>
      </c>
      <c r="B25" t="s">
        <v>122</v>
      </c>
      <c r="C25" t="s">
        <v>12</v>
      </c>
      <c r="D25" t="s">
        <v>123</v>
      </c>
      <c r="E25" s="1" t="s">
        <v>124</v>
      </c>
      <c r="F25" s="1" t="s">
        <v>125</v>
      </c>
      <c r="G25" s="1" t="s">
        <v>126</v>
      </c>
      <c r="H25" t="s">
        <v>17</v>
      </c>
      <c r="I25" s="1" t="s">
        <v>184</v>
      </c>
      <c r="J25" t="s">
        <v>18</v>
      </c>
      <c r="K25">
        <v>18.600000000000001</v>
      </c>
      <c r="L25" s="2">
        <v>45244.470833333333</v>
      </c>
      <c r="M25">
        <f>WEEKNUM(L25)</f>
        <v>46</v>
      </c>
      <c r="N25" s="3">
        <f t="shared" si="0"/>
        <v>11</v>
      </c>
      <c r="O25" s="3"/>
      <c r="P25" t="s">
        <v>19</v>
      </c>
      <c r="Q25" t="s">
        <v>20</v>
      </c>
    </row>
    <row r="26" spans="1:17" ht="409.5" x14ac:dyDescent="0.35">
      <c r="A26">
        <v>24</v>
      </c>
      <c r="B26" t="s">
        <v>127</v>
      </c>
      <c r="C26" t="s">
        <v>12</v>
      </c>
      <c r="D26" t="s">
        <v>128</v>
      </c>
      <c r="E26" t="s">
        <v>129</v>
      </c>
      <c r="F26" s="1" t="s">
        <v>130</v>
      </c>
      <c r="G26" t="s">
        <v>25</v>
      </c>
      <c r="H26" t="s">
        <v>17</v>
      </c>
      <c r="I26" t="s">
        <v>184</v>
      </c>
      <c r="J26" t="s">
        <v>18</v>
      </c>
      <c r="K26">
        <v>10.31</v>
      </c>
      <c r="L26" s="2">
        <v>45245.334027777775</v>
      </c>
      <c r="M26">
        <f>WEEKNUM(L26)</f>
        <v>46</v>
      </c>
      <c r="N26" s="3">
        <f t="shared" si="0"/>
        <v>11</v>
      </c>
      <c r="O26" s="3"/>
      <c r="P26" t="s">
        <v>19</v>
      </c>
      <c r="Q26" t="s">
        <v>20</v>
      </c>
    </row>
    <row r="27" spans="1:17" ht="409.5" x14ac:dyDescent="0.35">
      <c r="A27">
        <v>25</v>
      </c>
      <c r="B27" t="s">
        <v>131</v>
      </c>
      <c r="C27" t="s">
        <v>12</v>
      </c>
      <c r="D27" t="s">
        <v>132</v>
      </c>
      <c r="E27" s="1" t="s">
        <v>133</v>
      </c>
      <c r="F27" s="1" t="s">
        <v>134</v>
      </c>
      <c r="G27" t="s">
        <v>25</v>
      </c>
      <c r="H27" t="s">
        <v>17</v>
      </c>
      <c r="I27" t="s">
        <v>184</v>
      </c>
      <c r="J27" t="s">
        <v>18</v>
      </c>
      <c r="K27">
        <v>0.16</v>
      </c>
      <c r="L27" s="2">
        <v>45246.43472222222</v>
      </c>
      <c r="M27">
        <f>WEEKNUM(L27)</f>
        <v>46</v>
      </c>
      <c r="N27" s="3">
        <f t="shared" si="0"/>
        <v>11</v>
      </c>
      <c r="O27" s="3"/>
      <c r="P27" t="s">
        <v>19</v>
      </c>
      <c r="Q27" t="s">
        <v>20</v>
      </c>
    </row>
    <row r="28" spans="1:17" ht="409.5" x14ac:dyDescent="0.35">
      <c r="A28">
        <v>26</v>
      </c>
      <c r="B28" t="s">
        <v>135</v>
      </c>
      <c r="C28" t="s">
        <v>136</v>
      </c>
      <c r="D28" t="s">
        <v>137</v>
      </c>
      <c r="E28" s="1" t="s">
        <v>138</v>
      </c>
      <c r="F28" s="1" t="s">
        <v>139</v>
      </c>
      <c r="G28" s="1" t="s">
        <v>140</v>
      </c>
      <c r="H28" t="s">
        <v>17</v>
      </c>
      <c r="I28" s="1" t="s">
        <v>184</v>
      </c>
      <c r="J28" t="s">
        <v>18</v>
      </c>
      <c r="K28">
        <v>23.91</v>
      </c>
      <c r="L28" s="2">
        <v>45253.456250000003</v>
      </c>
      <c r="M28">
        <f>WEEKNUM(L28)</f>
        <v>47</v>
      </c>
      <c r="N28" s="3">
        <f t="shared" si="0"/>
        <v>11</v>
      </c>
      <c r="O28" s="3"/>
      <c r="P28" t="s">
        <v>19</v>
      </c>
      <c r="Q28" t="s">
        <v>20</v>
      </c>
    </row>
    <row r="29" spans="1:17" ht="409.5" hidden="1" x14ac:dyDescent="0.35">
      <c r="A29">
        <v>27</v>
      </c>
      <c r="B29" t="s">
        <v>141</v>
      </c>
      <c r="C29" t="s">
        <v>12</v>
      </c>
      <c r="D29" t="s">
        <v>142</v>
      </c>
      <c r="E29" s="1" t="s">
        <v>143</v>
      </c>
      <c r="F29" t="s">
        <v>144</v>
      </c>
      <c r="G29" s="1" t="s">
        <v>145</v>
      </c>
      <c r="H29" t="s">
        <v>17</v>
      </c>
      <c r="I29" s="1" t="s">
        <v>17</v>
      </c>
      <c r="J29" t="s">
        <v>18</v>
      </c>
      <c r="K29">
        <v>1.83</v>
      </c>
      <c r="L29" s="2">
        <v>45254.609722222223</v>
      </c>
      <c r="M29">
        <f>WEEKNUM(L29)</f>
        <v>47</v>
      </c>
      <c r="N29" s="3">
        <f t="shared" si="0"/>
        <v>11</v>
      </c>
      <c r="O29" s="3" t="s">
        <v>179</v>
      </c>
      <c r="P29" t="s">
        <v>19</v>
      </c>
      <c r="Q29" t="s">
        <v>20</v>
      </c>
    </row>
    <row r="30" spans="1:17" ht="409.5" x14ac:dyDescent="0.35">
      <c r="A30">
        <v>28</v>
      </c>
      <c r="B30" t="s">
        <v>146</v>
      </c>
      <c r="C30" t="s">
        <v>136</v>
      </c>
      <c r="D30" t="s">
        <v>147</v>
      </c>
      <c r="E30" s="1" t="s">
        <v>148</v>
      </c>
      <c r="F30" s="1" t="s">
        <v>149</v>
      </c>
      <c r="G30" s="1" t="s">
        <v>150</v>
      </c>
      <c r="H30" t="s">
        <v>17</v>
      </c>
      <c r="I30" s="1" t="s">
        <v>184</v>
      </c>
      <c r="J30" t="s">
        <v>18</v>
      </c>
      <c r="K30">
        <v>0.14000000000000001</v>
      </c>
      <c r="L30" s="2">
        <v>45258.357638888891</v>
      </c>
      <c r="M30">
        <f>WEEKNUM(L30)</f>
        <v>48</v>
      </c>
      <c r="N30" s="3">
        <f t="shared" si="0"/>
        <v>11</v>
      </c>
      <c r="O30" s="3" t="s">
        <v>181</v>
      </c>
      <c r="P30" t="s">
        <v>19</v>
      </c>
      <c r="Q30" t="s">
        <v>20</v>
      </c>
    </row>
  </sheetData>
  <autoFilter ref="A1:Q30">
    <filterColumn colId="8">
      <filters>
        <filter val="correct_escalation"/>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61" workbookViewId="0">
      <selection activeCell="C17" sqref="C17"/>
    </sheetView>
  </sheetViews>
  <sheetFormatPr defaultRowHeight="14.5" x14ac:dyDescent="0.35"/>
  <cols>
    <col min="1" max="1" width="4.7265625" customWidth="1"/>
    <col min="2" max="2" width="20.08984375" customWidth="1"/>
    <col min="3" max="3" width="23.54296875" customWidth="1"/>
    <col min="4" max="4" width="13.36328125" customWidth="1"/>
    <col min="6" max="6" width="4.6328125" customWidth="1"/>
    <col min="7" max="7" width="21.54296875" customWidth="1"/>
    <col min="8" max="8" width="22.90625" customWidth="1"/>
    <col min="9" max="9" width="13.36328125" customWidth="1"/>
  </cols>
  <sheetData>
    <row r="1" spans="1:9" x14ac:dyDescent="0.35">
      <c r="A1" s="10" t="s">
        <v>188</v>
      </c>
      <c r="B1" s="10"/>
      <c r="C1" s="10"/>
      <c r="D1" s="10"/>
      <c r="F1" s="10" t="s">
        <v>189</v>
      </c>
      <c r="G1" s="10"/>
      <c r="H1" s="10"/>
      <c r="I1" s="10"/>
    </row>
    <row r="2" spans="1:9" x14ac:dyDescent="0.35">
      <c r="A2" t="s">
        <v>151</v>
      </c>
      <c r="B2" t="s">
        <v>154</v>
      </c>
      <c r="C2" t="s">
        <v>153</v>
      </c>
      <c r="D2" t="s">
        <v>155</v>
      </c>
      <c r="F2" t="s">
        <v>151</v>
      </c>
      <c r="G2" t="s">
        <v>154</v>
      </c>
      <c r="H2" t="s">
        <v>153</v>
      </c>
      <c r="I2" t="s">
        <v>155</v>
      </c>
    </row>
    <row r="3" spans="1:9" x14ac:dyDescent="0.35">
      <c r="A3">
        <v>35</v>
      </c>
      <c r="B3">
        <f>COUNTIFS('evaluation of generated answers'!M1:M40, "35")</f>
        <v>2</v>
      </c>
      <c r="C3">
        <f>COUNTIFS('evaluation of generated answers'!M1:M40, "35", 'evaluation of generated answers'!I1:I40, "correct")</f>
        <v>0</v>
      </c>
      <c r="D3">
        <f>C3*12.5</f>
        <v>0</v>
      </c>
      <c r="F3">
        <v>35</v>
      </c>
      <c r="G3">
        <f>COUNTIFS('evaluation of generated answers'!M1:M41, "35")</f>
        <v>2</v>
      </c>
      <c r="H3">
        <f>COUNTIFS('evaluation of generated answers'!M1:M41, "35", 'evaluation of generated answers'!H1:H41, "correct")</f>
        <v>2</v>
      </c>
      <c r="I3">
        <f>H3*12.5</f>
        <v>25</v>
      </c>
    </row>
    <row r="4" spans="1:9" x14ac:dyDescent="0.35">
      <c r="A4">
        <v>36</v>
      </c>
      <c r="B4">
        <f>COUNTIFS('evaluation of generated answers'!M1:M40, "36")</f>
        <v>3</v>
      </c>
      <c r="C4">
        <f>COUNTIFS('evaluation of generated answers'!M1:M40, "36", 'evaluation of generated answers'!I1:I40, "correct")</f>
        <v>0</v>
      </c>
      <c r="D4">
        <f t="shared" ref="D4:D16" si="0">C4*12.5</f>
        <v>0</v>
      </c>
      <c r="F4">
        <v>36</v>
      </c>
      <c r="G4">
        <f>COUNTIFS('evaluation of generated answers'!M1:M41, "36")</f>
        <v>3</v>
      </c>
      <c r="H4">
        <f>COUNTIFS('evaluation of generated answers'!M1:M40, "36", 'evaluation of generated answers'!H1:H40, "correct")</f>
        <v>3</v>
      </c>
      <c r="I4">
        <f t="shared" ref="I4:I16" si="1">H4*12.5</f>
        <v>37.5</v>
      </c>
    </row>
    <row r="5" spans="1:9" x14ac:dyDescent="0.35">
      <c r="A5">
        <v>37</v>
      </c>
      <c r="B5">
        <f>COUNTIFS('evaluation of generated answers'!M1:M41, "37")</f>
        <v>3</v>
      </c>
      <c r="C5">
        <f>COUNTIFS('evaluation of generated answers'!M1:M40, "37", 'evaluation of generated answers'!I1:I40, "correct")</f>
        <v>1</v>
      </c>
      <c r="D5">
        <f t="shared" si="0"/>
        <v>12.5</v>
      </c>
      <c r="F5">
        <v>37</v>
      </c>
      <c r="G5">
        <f>COUNTIFS('evaluation of generated answers'!M1:M41, "37")</f>
        <v>3</v>
      </c>
      <c r="H5">
        <f>COUNTIFS('evaluation of generated answers'!M1:M40, "37", 'evaluation of generated answers'!H1:H40, "correct")</f>
        <v>2</v>
      </c>
      <c r="I5">
        <f t="shared" si="1"/>
        <v>25</v>
      </c>
    </row>
    <row r="6" spans="1:9" x14ac:dyDescent="0.35">
      <c r="A6">
        <v>38</v>
      </c>
      <c r="B6">
        <f>COUNTIFS('evaluation of generated answers'!M1:M42, "38")</f>
        <v>2</v>
      </c>
      <c r="C6">
        <f>COUNTIFS('evaluation of generated answers'!M1:M40, "38", 'evaluation of generated answers'!I1:I40, "correct")</f>
        <v>1</v>
      </c>
      <c r="D6">
        <f t="shared" si="0"/>
        <v>12.5</v>
      </c>
      <c r="F6">
        <v>38</v>
      </c>
      <c r="G6">
        <f>COUNTIFS('evaluation of generated answers'!M1:M41, "38")</f>
        <v>2</v>
      </c>
      <c r="H6">
        <f>COUNTIFS('evaluation of generated answers'!M1:M40, "38", 'evaluation of generated answers'!H1:H40, "correct")</f>
        <v>2</v>
      </c>
      <c r="I6">
        <f t="shared" si="1"/>
        <v>25</v>
      </c>
    </row>
    <row r="7" spans="1:9" x14ac:dyDescent="0.35">
      <c r="A7">
        <v>39</v>
      </c>
      <c r="B7">
        <f>COUNTIFS('evaluation of generated answers'!M1:M43, "39")</f>
        <v>2</v>
      </c>
      <c r="C7">
        <f>COUNTIFS('evaluation of generated answers'!M1:M40, "39", 'evaluation of generated answers'!I1:I40, "correct")</f>
        <v>1</v>
      </c>
      <c r="D7">
        <f t="shared" si="0"/>
        <v>12.5</v>
      </c>
      <c r="F7">
        <v>39</v>
      </c>
      <c r="G7">
        <f>COUNTIFS('evaluation of generated answers'!M1:M41, "39")</f>
        <v>2</v>
      </c>
      <c r="H7">
        <f>COUNTIFS('evaluation of generated answers'!M1:M40, "39", 'evaluation of generated answers'!H1:H40, "correct")</f>
        <v>1</v>
      </c>
      <c r="I7">
        <f t="shared" si="1"/>
        <v>12.5</v>
      </c>
    </row>
    <row r="8" spans="1:9" x14ac:dyDescent="0.35">
      <c r="A8">
        <v>40</v>
      </c>
      <c r="B8">
        <f>COUNTIFS('evaluation of generated answers'!M1:M44, "40")</f>
        <v>1</v>
      </c>
      <c r="C8">
        <f>COUNTIFS('evaluation of generated answers'!M1:M40, "40", 'evaluation of generated answers'!I1:I40, "correct")</f>
        <v>0</v>
      </c>
      <c r="D8">
        <f t="shared" si="0"/>
        <v>0</v>
      </c>
      <c r="F8">
        <v>40</v>
      </c>
      <c r="G8">
        <f>COUNTIFS('evaluation of generated answers'!M1:M41, "40")</f>
        <v>1</v>
      </c>
      <c r="H8">
        <f>COUNTIFS('evaluation of generated answers'!M1:M41, "40", 'evaluation of generated answers'!H1:H41, "correct")</f>
        <v>1</v>
      </c>
      <c r="I8">
        <f t="shared" si="1"/>
        <v>12.5</v>
      </c>
    </row>
    <row r="9" spans="1:9" x14ac:dyDescent="0.35">
      <c r="A9">
        <v>41</v>
      </c>
      <c r="B9">
        <f>COUNTIFS('evaluation of generated answers'!M1:M40, "41")</f>
        <v>1</v>
      </c>
      <c r="C9">
        <f>COUNTIFS('evaluation of generated answers'!M1:M40, "41", 'evaluation of generated answers'!I1:I40, "correct")</f>
        <v>1</v>
      </c>
      <c r="D9">
        <f t="shared" si="0"/>
        <v>12.5</v>
      </c>
      <c r="F9">
        <v>41</v>
      </c>
      <c r="G9">
        <f>COUNTIFS('evaluation of generated answers'!M1:M41, "41")</f>
        <v>1</v>
      </c>
      <c r="H9">
        <f>COUNTIFS('evaluation of generated answers'!M1:M41, "41", 'evaluation of generated answers'!H1:H41, "correct")</f>
        <v>1</v>
      </c>
      <c r="I9">
        <f t="shared" si="1"/>
        <v>12.5</v>
      </c>
    </row>
    <row r="10" spans="1:9" x14ac:dyDescent="0.35">
      <c r="A10">
        <v>42</v>
      </c>
      <c r="B10">
        <f>COUNTIFS('evaluation of generated answers'!M1:M40, "42")</f>
        <v>1</v>
      </c>
      <c r="C10">
        <f>COUNTIFS('evaluation of generated answers'!M1:M40, "42", 'evaluation of generated answers'!I1:I40, "correct")</f>
        <v>1</v>
      </c>
      <c r="D10">
        <f t="shared" si="0"/>
        <v>12.5</v>
      </c>
      <c r="F10">
        <v>42</v>
      </c>
      <c r="G10">
        <f>COUNTIFS('evaluation of generated answers'!M1:M41, "42")</f>
        <v>1</v>
      </c>
      <c r="H10">
        <f>COUNTIFS('evaluation of generated answers'!M1:M41, "42", 'evaluation of generated answers'!H1:H41, "correct")</f>
        <v>1</v>
      </c>
      <c r="I10">
        <f t="shared" si="1"/>
        <v>12.5</v>
      </c>
    </row>
    <row r="11" spans="1:9" x14ac:dyDescent="0.35">
      <c r="A11">
        <v>43</v>
      </c>
      <c r="B11">
        <f>COUNTIFS('evaluation of generated answers'!M1:M40, "43")</f>
        <v>4</v>
      </c>
      <c r="C11">
        <f>COUNTIFS('evaluation of generated answers'!M1:M40, "43", 'evaluation of generated answers'!I1:I40, "correct")</f>
        <v>1</v>
      </c>
      <c r="D11">
        <f t="shared" si="0"/>
        <v>12.5</v>
      </c>
      <c r="F11">
        <v>43</v>
      </c>
      <c r="G11">
        <f>COUNTIFS('evaluation of generated answers'!M1:M41, "43")</f>
        <v>4</v>
      </c>
      <c r="H11">
        <f>COUNTIFS('evaluation of generated answers'!M1:M41, "43", 'evaluation of generated answers'!H1:H41, "correct")</f>
        <v>4</v>
      </c>
      <c r="I11">
        <f t="shared" si="1"/>
        <v>50</v>
      </c>
    </row>
    <row r="12" spans="1:9" x14ac:dyDescent="0.35">
      <c r="A12">
        <v>44</v>
      </c>
      <c r="B12">
        <f>COUNTIFS('evaluation of generated answers'!M1:M40, "44")</f>
        <v>3</v>
      </c>
      <c r="C12">
        <f>COUNTIFS('evaluation of generated answers'!M1:M40, "44", 'evaluation of generated answers'!I1:I40, "correct")</f>
        <v>1</v>
      </c>
      <c r="D12">
        <f t="shared" si="0"/>
        <v>12.5</v>
      </c>
      <c r="F12">
        <v>44</v>
      </c>
      <c r="G12">
        <f>COUNTIFS('evaluation of generated answers'!M1:M41, "44")</f>
        <v>3</v>
      </c>
      <c r="H12">
        <f>COUNTIFS('evaluation of generated answers'!M1:M41, "44", 'evaluation of generated answers'!H1:H41, "correct")</f>
        <v>3</v>
      </c>
      <c r="I12">
        <f t="shared" si="1"/>
        <v>37.5</v>
      </c>
    </row>
    <row r="13" spans="1:9" x14ac:dyDescent="0.35">
      <c r="A13">
        <v>45</v>
      </c>
      <c r="B13">
        <f>COUNTIFS('evaluation of generated answers'!M1:M45, "45")</f>
        <v>1</v>
      </c>
      <c r="C13">
        <f>COUNTIFS('evaluation of generated answers'!M1:M40, "45", 'evaluation of generated answers'!I1:I40, "correct")</f>
        <v>0</v>
      </c>
      <c r="D13">
        <f t="shared" si="0"/>
        <v>0</v>
      </c>
      <c r="F13">
        <v>45</v>
      </c>
      <c r="G13">
        <f>COUNTIFS('evaluation of generated answers'!M1:M41, "45")</f>
        <v>1</v>
      </c>
      <c r="H13">
        <f>COUNTIFS('evaluation of generated answers'!M1:M41, "45", 'evaluation of generated answers'!H1:H41, "correct")</f>
        <v>0</v>
      </c>
      <c r="I13">
        <f t="shared" si="1"/>
        <v>0</v>
      </c>
    </row>
    <row r="14" spans="1:9" x14ac:dyDescent="0.35">
      <c r="A14">
        <v>46</v>
      </c>
      <c r="B14">
        <f>COUNTIFS('evaluation of generated answers'!M1:M40, "46")</f>
        <v>3</v>
      </c>
      <c r="C14">
        <f>COUNTIFS('evaluation of generated answers'!M1:M40, "46", 'evaluation of generated answers'!I1:I40, "correct")</f>
        <v>0</v>
      </c>
      <c r="D14">
        <f t="shared" si="0"/>
        <v>0</v>
      </c>
      <c r="F14">
        <v>46</v>
      </c>
      <c r="G14">
        <f>COUNTIFS('evaluation of generated answers'!M1:M41, "46")</f>
        <v>3</v>
      </c>
      <c r="H14">
        <f>COUNTIFS('evaluation of generated answers'!M1:M41, "46", 'evaluation of generated answers'!H1:H41, "correct")</f>
        <v>3</v>
      </c>
      <c r="I14">
        <f t="shared" si="1"/>
        <v>37.5</v>
      </c>
    </row>
    <row r="15" spans="1:9" x14ac:dyDescent="0.35">
      <c r="A15">
        <v>47</v>
      </c>
      <c r="B15">
        <f>COUNTIFS('evaluation of generated answers'!M1:M40, "47")</f>
        <v>2</v>
      </c>
      <c r="C15">
        <f>COUNTIFS('evaluation of generated answers'!M1:M40, "47", 'evaluation of generated answers'!I1:I40, "correct")</f>
        <v>1</v>
      </c>
      <c r="D15">
        <f t="shared" si="0"/>
        <v>12.5</v>
      </c>
      <c r="F15">
        <v>47</v>
      </c>
      <c r="G15">
        <f>COUNTIFS('evaluation of generated answers'!M1:M41, "47")</f>
        <v>2</v>
      </c>
      <c r="H15">
        <f>COUNTIFS('evaluation of generated answers'!M1:M41, "47", 'evaluation of generated answers'!H1:H41, "correct")</f>
        <v>2</v>
      </c>
      <c r="I15">
        <f t="shared" si="1"/>
        <v>25</v>
      </c>
    </row>
    <row r="16" spans="1:9" x14ac:dyDescent="0.35">
      <c r="A16">
        <v>48</v>
      </c>
      <c r="B16">
        <f>COUNTIFS('evaluation of generated answers'!M1:M40, "48")</f>
        <v>1</v>
      </c>
      <c r="C16">
        <f>COUNTIFS('evaluation of generated answers'!M1:M40, "48", 'evaluation of generated answers'!I1:I40, "correct")</f>
        <v>0</v>
      </c>
      <c r="D16">
        <f t="shared" si="0"/>
        <v>0</v>
      </c>
      <c r="F16">
        <v>48</v>
      </c>
      <c r="G16">
        <f>COUNTIFS('evaluation of generated answers'!M1:M41, "48")</f>
        <v>1</v>
      </c>
      <c r="H16">
        <f>COUNTIFS('evaluation of generated answers'!M1:M41, "48", 'evaluation of generated answers'!H1:H41, "correct")</f>
        <v>1</v>
      </c>
      <c r="I16">
        <f t="shared" si="1"/>
        <v>12.5</v>
      </c>
    </row>
    <row r="17" spans="1:9" x14ac:dyDescent="0.35">
      <c r="A17" s="12" t="s">
        <v>185</v>
      </c>
      <c r="B17" s="12">
        <f>SUM(B3:B16)</f>
        <v>29</v>
      </c>
      <c r="C17" s="12">
        <f>SUM(C3:C16)</f>
        <v>8</v>
      </c>
      <c r="D17" s="12">
        <f>SUM(D3:D16)</f>
        <v>100</v>
      </c>
      <c r="F17" s="12" t="s">
        <v>161</v>
      </c>
      <c r="G17" s="17">
        <f>SUM(G3:G16)</f>
        <v>29</v>
      </c>
      <c r="H17" s="12">
        <f>SUM(H3:H16)</f>
        <v>26</v>
      </c>
      <c r="I17" s="12">
        <f>SUM(I3:I16)</f>
        <v>325</v>
      </c>
    </row>
    <row r="18" spans="1:9" x14ac:dyDescent="0.35">
      <c r="A18" s="11" t="s">
        <v>186</v>
      </c>
      <c r="B18" s="11"/>
      <c r="C18" s="14"/>
      <c r="D18" s="14">
        <f>SUM(D3:D16)/14</f>
        <v>7.1428571428571432</v>
      </c>
      <c r="F18" s="13" t="s">
        <v>187</v>
      </c>
      <c r="G18" s="13"/>
      <c r="H18" s="14"/>
      <c r="I18" s="14">
        <f>SUM(I3:I16)/14</f>
        <v>23.214285714285715</v>
      </c>
    </row>
  </sheetData>
  <mergeCells count="4">
    <mergeCell ref="A1:D1"/>
    <mergeCell ref="F1:I1"/>
    <mergeCell ref="A18:B18"/>
    <mergeCell ref="F18:G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I7" sqref="I7"/>
    </sheetView>
  </sheetViews>
  <sheetFormatPr defaultRowHeight="14.5" x14ac:dyDescent="0.35"/>
  <cols>
    <col min="1" max="1" width="7.08984375" style="4" customWidth="1"/>
    <col min="2" max="2" width="18.453125" customWidth="1"/>
    <col min="3" max="3" width="23.453125" customWidth="1"/>
    <col min="4" max="4" width="13.90625" customWidth="1"/>
    <col min="6" max="6" width="6.08984375" customWidth="1"/>
    <col min="7" max="7" width="18.6328125" customWidth="1"/>
    <col min="8" max="8" width="23.453125" customWidth="1"/>
    <col min="9" max="9" width="14" customWidth="1"/>
  </cols>
  <sheetData>
    <row r="1" spans="1:9" x14ac:dyDescent="0.35">
      <c r="A1" s="10" t="s">
        <v>189</v>
      </c>
      <c r="B1" s="10"/>
      <c r="C1" s="10"/>
      <c r="D1" s="10"/>
      <c r="F1" s="10" t="s">
        <v>188</v>
      </c>
      <c r="G1" s="10"/>
      <c r="H1" s="10"/>
      <c r="I1" s="10"/>
    </row>
    <row r="2" spans="1:9" x14ac:dyDescent="0.35">
      <c r="A2" s="4" t="s">
        <v>157</v>
      </c>
      <c r="B2" t="s">
        <v>154</v>
      </c>
      <c r="C2" t="s">
        <v>153</v>
      </c>
      <c r="D2" t="s">
        <v>155</v>
      </c>
      <c r="F2" s="4" t="s">
        <v>157</v>
      </c>
      <c r="G2" t="s">
        <v>154</v>
      </c>
      <c r="H2" t="s">
        <v>153</v>
      </c>
      <c r="I2" t="s">
        <v>155</v>
      </c>
    </row>
    <row r="3" spans="1:9" x14ac:dyDescent="0.35">
      <c r="A3" s="4" t="s">
        <v>158</v>
      </c>
      <c r="B3">
        <f>COUNTIFS('evaluation of generated answers'!N1:N41, "9")</f>
        <v>12</v>
      </c>
      <c r="C3">
        <f>COUNTIFS('evaluation of generated answers'!N1:N40, "9", 'evaluation of generated answers'!I1:I40, "correct")</f>
        <v>3</v>
      </c>
      <c r="D3">
        <f>C3*12.5</f>
        <v>37.5</v>
      </c>
      <c r="F3" s="4" t="s">
        <v>158</v>
      </c>
      <c r="G3">
        <f>COUNTIFS('evaluation of generated answers'!N1:N41, "9")</f>
        <v>12</v>
      </c>
      <c r="H3">
        <f>COUNTIFS('evaluation of generated answers'!N1:N41, "9", 'evaluation of generated answers'!H1:H41, "correct")</f>
        <v>10</v>
      </c>
      <c r="I3">
        <f>H3*12.5</f>
        <v>125</v>
      </c>
    </row>
    <row r="4" spans="1:9" x14ac:dyDescent="0.35">
      <c r="A4" s="4" t="s">
        <v>159</v>
      </c>
      <c r="B4">
        <f>COUNTIFS('evaluation of generated answers'!N1:N42, "10")</f>
        <v>7</v>
      </c>
      <c r="C4">
        <f>COUNTIFS('evaluation of generated answers'!N1:N40, "10", 'evaluation of generated answers'!I1:I40, "correct")</f>
        <v>3</v>
      </c>
      <c r="D4">
        <f t="shared" ref="D4:D5" si="0">C4*12.5</f>
        <v>37.5</v>
      </c>
      <c r="F4" s="4" t="s">
        <v>159</v>
      </c>
      <c r="G4">
        <f>COUNTIFS('evaluation of generated answers'!N1:N41, "10")</f>
        <v>7</v>
      </c>
      <c r="H4">
        <f>COUNTIFS('evaluation of generated answers'!N1:N41, "10", 'evaluation of generated answers'!H1:H41, "correct")</f>
        <v>7</v>
      </c>
      <c r="I4">
        <f t="shared" ref="I4:I5" si="1">H4*12.5</f>
        <v>87.5</v>
      </c>
    </row>
    <row r="5" spans="1:9" x14ac:dyDescent="0.35">
      <c r="A5" s="4" t="s">
        <v>160</v>
      </c>
      <c r="B5">
        <f>COUNTIFS('evaluation of generated answers'!N1:N43, "11")</f>
        <v>10</v>
      </c>
      <c r="C5">
        <f>COUNTIFS('evaluation of generated answers'!N1:N40, "11", 'evaluation of generated answers'!I1:I40, "correct")</f>
        <v>2</v>
      </c>
      <c r="D5">
        <f t="shared" si="0"/>
        <v>25</v>
      </c>
      <c r="F5" s="4" t="s">
        <v>160</v>
      </c>
      <c r="G5">
        <f>COUNTIFS('evaluation of generated answers'!N1:N41, "11")</f>
        <v>10</v>
      </c>
      <c r="H5">
        <f>COUNTIFS('evaluation of generated answers'!N1:N41, "11", 'evaluation of generated answers'!H1:H41, "correct")</f>
        <v>9</v>
      </c>
      <c r="I5">
        <f t="shared" si="1"/>
        <v>112.5</v>
      </c>
    </row>
    <row r="6" spans="1:9" x14ac:dyDescent="0.35">
      <c r="A6" s="15" t="s">
        <v>190</v>
      </c>
      <c r="B6" s="12">
        <f>SUM(B3:B5)</f>
        <v>29</v>
      </c>
      <c r="C6" s="12">
        <f>SUM(C3:C5)</f>
        <v>8</v>
      </c>
      <c r="D6" s="12">
        <f>SUM(D3:D5)</f>
        <v>100</v>
      </c>
      <c r="F6" s="15" t="s">
        <v>161</v>
      </c>
      <c r="G6" s="12">
        <f>SUM(G3:G5)</f>
        <v>29</v>
      </c>
      <c r="H6" s="12">
        <f>SUM(H3:H5)</f>
        <v>26</v>
      </c>
      <c r="I6" s="12">
        <f>SUM(I3:I5)</f>
        <v>325</v>
      </c>
    </row>
    <row r="7" spans="1:9" x14ac:dyDescent="0.35">
      <c r="A7" s="16" t="s">
        <v>191</v>
      </c>
      <c r="B7" s="14"/>
      <c r="C7" s="14"/>
      <c r="D7" s="14">
        <f>SUM(D3:D5)/3</f>
        <v>33.333333333333336</v>
      </c>
      <c r="F7" s="16" t="s">
        <v>191</v>
      </c>
      <c r="G7" s="14"/>
      <c r="H7" s="14"/>
      <c r="I7" s="14">
        <f>SUM(I3:I5)/3</f>
        <v>108.33333333333333</v>
      </c>
    </row>
  </sheetData>
  <mergeCells count="2">
    <mergeCell ref="A1:D1"/>
    <mergeCell ref="F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abSelected="1" workbookViewId="0">
      <selection activeCell="B4" sqref="B4"/>
    </sheetView>
  </sheetViews>
  <sheetFormatPr defaultRowHeight="14.5" x14ac:dyDescent="0.35"/>
  <cols>
    <col min="1" max="1" width="21.26953125" customWidth="1"/>
    <col min="4" max="4" width="16.81640625" customWidth="1"/>
    <col min="5" max="5" width="12.36328125" customWidth="1"/>
  </cols>
  <sheetData>
    <row r="1" spans="1:5" x14ac:dyDescent="0.35">
      <c r="A1" s="11" t="s">
        <v>189</v>
      </c>
      <c r="B1" s="11"/>
      <c r="D1" s="11" t="s">
        <v>188</v>
      </c>
      <c r="E1" s="11"/>
    </row>
    <row r="2" spans="1:5" x14ac:dyDescent="0.35">
      <c r="A2" t="s">
        <v>192</v>
      </c>
      <c r="B2">
        <f>week!D18/(42*60)</f>
        <v>2.8344671201814059E-3</v>
      </c>
      <c r="D2" t="s">
        <v>192</v>
      </c>
      <c r="E2">
        <f>week!I18/(42*60)</f>
        <v>9.2120181405895701E-3</v>
      </c>
    </row>
    <row r="3" spans="1:5" x14ac:dyDescent="0.35">
      <c r="A3" t="s">
        <v>193</v>
      </c>
      <c r="B3">
        <f>month!D7/(42*60*3)</f>
        <v>4.4091710758377431E-3</v>
      </c>
      <c r="D3" t="s">
        <v>193</v>
      </c>
      <c r="E3">
        <f>month!I7/(42*60*3)</f>
        <v>1.4329805996472662E-2</v>
      </c>
    </row>
  </sheetData>
  <mergeCells count="2">
    <mergeCell ref="A1:B1"/>
    <mergeCell ref="D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evaluation of generated answers</vt:lpstr>
      <vt:lpstr>week</vt:lpstr>
      <vt:lpstr>month</vt:lpstr>
      <vt:lpstr>FTE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dc:creator>
  <cp:lastModifiedBy>Kimberly Kent</cp:lastModifiedBy>
  <dcterms:created xsi:type="dcterms:W3CDTF">2023-12-18T13:51:03Z</dcterms:created>
  <dcterms:modified xsi:type="dcterms:W3CDTF">2023-12-18T19:05:32Z</dcterms:modified>
</cp:coreProperties>
</file>