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mbers/Desktop/Class_Folder/Module-1/Week 1 Challenge/"/>
    </mc:Choice>
  </mc:AlternateContent>
  <xr:revisionPtr revIDLastSave="0" documentId="13_ncr:1_{98F8D526-6F21-0B4D-84B4-E7A936D170D1}" xr6:coauthVersionLast="47" xr6:coauthVersionMax="47" xr10:uidLastSave="{00000000-0000-0000-0000-000000000000}"/>
  <bookViews>
    <workbookView xWindow="0" yWindow="760" windowWidth="30240" windowHeight="17400" firstSheet="1" activeTab="1" xr2:uid="{00000000-000D-0000-FFFF-FFFF00000000}"/>
  </bookViews>
  <sheets>
    <sheet name="Plays" sheetId="13" r:id="rId1"/>
    <sheet name="Outcomes Based on Goals" sheetId="16" r:id="rId2"/>
    <sheet name="Kickstarter" sheetId="1" r:id="rId3"/>
    <sheet name="GB_Musicals" sheetId="14" r:id="rId4"/>
    <sheet name="Theater Outcomes by Launch Date" sheetId="15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2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B6" i="16"/>
  <c r="C6" i="16"/>
  <c r="D5" i="16"/>
  <c r="C5" i="16"/>
  <c r="B5" i="16"/>
  <c r="B4" i="16"/>
  <c r="D4" i="16"/>
  <c r="C4" i="16"/>
  <c r="D3" i="16"/>
  <c r="C3" i="16"/>
  <c r="B3" i="16"/>
  <c r="E3" i="16" l="1"/>
  <c r="F3" i="16" s="1"/>
  <c r="E5" i="16"/>
  <c r="F5" i="16" s="1"/>
  <c r="E9" i="16"/>
  <c r="F9" i="16" s="1"/>
  <c r="E8" i="16"/>
  <c r="F8" i="16" s="1"/>
  <c r="D2" i="16"/>
  <c r="C2" i="16"/>
  <c r="B2" i="16"/>
  <c r="E4" i="16"/>
  <c r="F4" i="16" s="1"/>
  <c r="E6" i="16"/>
  <c r="F6" i="16" s="1"/>
  <c r="E10" i="16"/>
  <c r="F10" i="1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D2" i="6"/>
  <c r="C3" i="6"/>
  <c r="C4" i="6"/>
  <c r="C5" i="6"/>
  <c r="C6" i="6"/>
  <c r="C2" i="6"/>
  <c r="D3" i="6"/>
  <c r="D4" i="6"/>
  <c r="D5" i="6"/>
  <c r="D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245" i="1"/>
  <c r="O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736" i="1"/>
  <c r="O3842" i="1"/>
  <c r="E12" i="16" l="1"/>
  <c r="F12" i="16" s="1"/>
  <c r="E7" i="16"/>
  <c r="F7" i="16" s="1"/>
  <c r="E13" i="16"/>
  <c r="F13" i="16" s="1"/>
  <c r="E11" i="16"/>
  <c r="F11" i="16" s="1"/>
  <c r="E2" i="16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<sst xmlns="http://schemas.openxmlformats.org/spreadsheetml/2006/main" count="33036" uniqueCount="8404">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</sst>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3" fillId="0" borderId="0" xfId="0" applyNumberFormat="1" applyFont="1"/>
    <xf numFmtId="0" fontId="4" fillId="0" borderId="0" xfId="0" applyFont="1"/>
    <xf numFmtId="0" fontId="1" fillId="0" borderId="0" xfId="0" applyFont="1"/>
    <xf numFmtId="0" fontId="5" fillId="0" borderId="0" xfId="0" applyFont="1"/>
    <xf numFmtId="10" fontId="5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4">
    <dxf>
      <font>
        <color theme="4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A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3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B-4147-8413-8753FF1EA3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B-4147-8413-8753FF1EA3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B-4147-8413-8753FF1E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204175"/>
        <c:axId val="2124313039"/>
      </c:lineChart>
      <c:catAx>
        <c:axId val="2124204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13039"/>
        <c:crosses val="autoZero"/>
        <c:auto val="1"/>
        <c:lblAlgn val="ctr"/>
        <c:lblOffset val="100"/>
        <c:noMultiLvlLbl val="0"/>
      </c:catAx>
      <c:valAx>
        <c:axId val="21243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0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9-B446-AA8B-DDBE655DA6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9-B446-AA8B-DDBE655DA6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9-B446-AA8B-DDBE655D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3555328"/>
        <c:axId val="1653556976"/>
      </c:lineChart>
      <c:catAx>
        <c:axId val="16535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56976"/>
        <c:crosses val="autoZero"/>
        <c:auto val="1"/>
        <c:lblAlgn val="ctr"/>
        <c:lblOffset val="100"/>
        <c:noMultiLvlLbl val="0"/>
      </c:catAx>
      <c:valAx>
        <c:axId val="16535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B-1C41-86AC-CC2D7E7F197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EB-1C41-86AC-CC2D7E7F197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EB-1C41-86AC-CC2D7E7F197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EB-1C41-86AC-CC2D7E7F1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874767"/>
        <c:axId val="986760095"/>
      </c:barChart>
      <c:catAx>
        <c:axId val="98687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60095"/>
        <c:crosses val="autoZero"/>
        <c:auto val="1"/>
        <c:lblAlgn val="ctr"/>
        <c:lblOffset val="100"/>
        <c:noMultiLvlLbl val="0"/>
      </c:catAx>
      <c:valAx>
        <c:axId val="9867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7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5-2641-B7A6-7965666B5B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985-2641-B7A6-7965666B5B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985-2641-B7A6-7965666B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3444576"/>
        <c:axId val="1229028927"/>
      </c:barChart>
      <c:catAx>
        <c:axId val="30344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028927"/>
        <c:crosses val="autoZero"/>
        <c:auto val="1"/>
        <c:lblAlgn val="ctr"/>
        <c:lblOffset val="100"/>
        <c:noMultiLvlLbl val="0"/>
      </c:catAx>
      <c:valAx>
        <c:axId val="12290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4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1-B248-AA8B-0357054D06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1-B248-AA8B-0357054D06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51-B248-AA8B-0357054D06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51-B248-AA8B-0357054D0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621408"/>
        <c:axId val="224357328"/>
      </c:lineChart>
      <c:catAx>
        <c:axId val="30362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357328"/>
        <c:crosses val="autoZero"/>
        <c:auto val="1"/>
        <c:lblAlgn val="ctr"/>
        <c:lblOffset val="100"/>
        <c:noMultiLvlLbl val="0"/>
      </c:catAx>
      <c:valAx>
        <c:axId val="2243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2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US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US Plays</a:t>
          </a:r>
        </a:p>
      </cx:txPr>
    </cx:title>
    <cx:plotArea>
      <cx:plotAreaRegion>
        <cx:series layoutId="boxWhisker" uniqueId="{E2DFE074-4791-5346-BD99-F4F752CF0263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5EF4CE-7265-DB47-9BBA-5049E6154A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07E6AD69-D5CC-EB4B-94FC-27CEFAE3612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1A8F86-712D-954B-9C8F-D7FD131627E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3F3CD7-001B-5846-A12C-1BF5F963A8BE}">
  <sheetPr/>
  <sheetViews>
    <sheetView zoomScale="13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773097-0754-E446-8AC2-68C6748FAA4E}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D41067-E41C-EFD0-FBA3-9FCDAC3436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9FAEBB2-30B7-120E-64A3-8AE8EB408BF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1052286</xdr:colOff>
      <xdr:row>14</xdr:row>
      <xdr:rowOff>79829</xdr:rowOff>
    </xdr:from>
    <xdr:to>
      <xdr:col>6</xdr:col>
      <xdr:colOff>385536</xdr:colOff>
      <xdr:row>28</xdr:row>
      <xdr:rowOff>29029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7CDD1-4308-449B-24AA-3F4280CF2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110564-17EA-A57E-A0FC-A8106482F9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CE6819-CAB6-4F0B-45CA-20EEDCEE38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12700</xdr:rowOff>
    </xdr:from>
    <xdr:to>
      <xdr:col>17</xdr:col>
      <xdr:colOff>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84DD2-D78C-44DE-B17A-C4DC6EEF3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25400</xdr:rowOff>
    </xdr:from>
    <xdr:to>
      <xdr:col>17</xdr:col>
      <xdr:colOff>812800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E11A9-56AD-1F3C-B01F-40075432D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38100</xdr:rowOff>
    </xdr:from>
    <xdr:to>
      <xdr:col>16</xdr:col>
      <xdr:colOff>812800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52688-29A9-B5B7-15F8-EB527A4CA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6350</xdr:rowOff>
    </xdr:from>
    <xdr:to>
      <xdr:col>17</xdr:col>
      <xdr:colOff>787400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9A89B-BAE5-BC50-2320-CB5C95517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Evans" refreshedDate="44793.660492361108" createdVersion="8" refreshedVersion="8" minRefreshableVersion="3" recordCount="4114" xr:uid="{48D38D2D-D93D-AB45-B03F-EDC6458CAD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Evans" refreshedDate="44793.691706481484" createdVersion="8" refreshedVersion="8" minRefreshableVersion="3" recordCount="4114" xr:uid="{0A3038DB-9942-5041-86E1-E3A165B131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Evans" refreshedDate="44802.756451504632" createdVersion="8" refreshedVersion="8" minRefreshableVersion="3" recordCount="4114" xr:uid="{275B2624-6BA1-B34F-BFA3-2DBEFB1B02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BE529-0C26-A04D-9885-A0ADB3726EDE}" name="Theater Outcomes Based on Launch Date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E3258-36B2-8443-A9BE-F7D8EA2400A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96573-32B8-E14E-B858-88AFF4320361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FF540-D017-804A-B668-75168EF480EC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9502C-C62D-3B45-BF3D-040CD7D981CA}">
  <dimension ref="A1:H13"/>
  <sheetViews>
    <sheetView tabSelected="1" zoomScale="140" zoomScaleNormal="140" workbookViewId="0">
      <selection activeCell="G11" sqref="G11"/>
    </sheetView>
  </sheetViews>
  <sheetFormatPr baseColWidth="10" defaultRowHeight="16" x14ac:dyDescent="0.2"/>
  <cols>
    <col min="1" max="1" width="14.5" style="17" bestFit="1" customWidth="1"/>
    <col min="2" max="2" width="20" style="17" bestFit="1" customWidth="1"/>
    <col min="3" max="3" width="15.83203125" style="17" bestFit="1" customWidth="1"/>
    <col min="4" max="4" width="19" style="17" bestFit="1" customWidth="1"/>
    <col min="5" max="5" width="14.6640625" style="17" bestFit="1" customWidth="1"/>
    <col min="6" max="6" width="22.83203125" style="20" bestFit="1" customWidth="1"/>
    <col min="7" max="7" width="18.6640625" style="20" bestFit="1" customWidth="1"/>
    <col min="8" max="8" width="22" style="20" bestFit="1" customWidth="1"/>
    <col min="9" max="16384" width="10.83203125" style="17"/>
  </cols>
  <sheetData>
    <row r="1" spans="1:8" s="16" customFormat="1" ht="19" x14ac:dyDescent="0.25">
      <c r="A1" s="18" t="s">
        <v>8381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">
      <c r="A2" s="17" t="s">
        <v>8392</v>
      </c>
      <c r="B2" s="17">
        <f>COUNTIFS(Kickstarter!$F:$F, "Successful", Kickstarter!$D:$D, "&lt;1000", Kickstarter!$R:$R, "Plays")</f>
        <v>141</v>
      </c>
      <c r="C2" s="17">
        <f>COUNTIFS(Kickstarter!$F:$F, "Failed", Kickstarter!$D:$D, "&lt;1000", Kickstarter!$R:$R, "Plays")</f>
        <v>45</v>
      </c>
      <c r="D2" s="17">
        <f>COUNTIFS(Kickstarter!$F:$F, "Canceled", Kickstarter!$D:$D, "&lt;1000", Kickstarter!$R:$R, "Plays")</f>
        <v>0</v>
      </c>
      <c r="E2" s="17">
        <f>SUM(B2:D2)</f>
        <v>186</v>
      </c>
      <c r="F2" s="20">
        <f>+B2/E2</f>
        <v>0.75806451612903225</v>
      </c>
      <c r="G2" s="20">
        <f>+C2/E2</f>
        <v>0.24193548387096775</v>
      </c>
      <c r="H2" s="20">
        <f>+D2/E2</f>
        <v>0</v>
      </c>
    </row>
    <row r="3" spans="1:8" x14ac:dyDescent="0.2">
      <c r="A3" s="17" t="s">
        <v>8393</v>
      </c>
      <c r="B3" s="17">
        <f>COUNTIFS(Kickstarter!$F:$F, "Successful", Kickstarter!$D:$D, "&gt;=1000", Kickstarter!$D:$D, "&lt;=4999", Kickstarter!$R:$R, "Plays")</f>
        <v>388</v>
      </c>
      <c r="C3" s="17">
        <f>COUNTIFS(Kickstarter!$F:$F, "Failed", Kickstarter!$D:$D, "&gt;=1000", Kickstarter!$D:$D, "&lt;=4999", Kickstarter!$R:$R, "Plays")</f>
        <v>146</v>
      </c>
      <c r="D3" s="17">
        <f>COUNTIFS(Kickstarter!$F:$F, "Canceled", Kickstarter!$D:$D, "&gt;=1000", Kickstarter!$D:$D, "&lt;=4999", Kickstarter!$R:$R, "Plays")</f>
        <v>0</v>
      </c>
      <c r="E3" s="17">
        <f t="shared" ref="E3:E13" si="0">SUM(B3:D3)</f>
        <v>534</v>
      </c>
      <c r="F3" s="20">
        <f t="shared" ref="F3:F13" si="1">+B3/E3</f>
        <v>0.72659176029962547</v>
      </c>
      <c r="G3" s="20">
        <f t="shared" ref="G3:G13" si="2">+C3/E3</f>
        <v>0.27340823970037453</v>
      </c>
      <c r="H3" s="20">
        <f t="shared" ref="H3:H13" si="3">+D3/E3</f>
        <v>0</v>
      </c>
    </row>
    <row r="4" spans="1:8" x14ac:dyDescent="0.2">
      <c r="A4" s="17" t="s">
        <v>8394</v>
      </c>
      <c r="B4" s="17">
        <f>COUNTIFS(Kickstarter!$F:$F, "Successful", Kickstarter!$D:$D, "&gt;=5000", Kickstarter!$D:$D, "&lt;=9999", Kickstarter!$R:$R, "Plays")</f>
        <v>93</v>
      </c>
      <c r="C4" s="17">
        <f>COUNTIFS(Kickstarter!$F:$F, "Failed", Kickstarter!$D:$D, "&gt;=5000", Kickstarter!$D:$D, "&lt;=9999", Kickstarter!$R:$R, "Plays")</f>
        <v>76</v>
      </c>
      <c r="D4" s="17">
        <f>COUNTIFS(Kickstarter!$F:$F, "Canceled", Kickstarter!$D:$D, "&gt;=5000", Kickstarter!$D:$D, "&lt;=9999", Kickstarter!$R:$R, "Plays")</f>
        <v>0</v>
      </c>
      <c r="E4" s="17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17" t="s">
        <v>8395</v>
      </c>
      <c r="B5" s="17">
        <f>COUNTIFS(Kickstarter!$F:$F, "Successful", Kickstarter!$D:$D, "&gt;=10000", Kickstarter!$D:$D, "&lt;=14999", Kickstarter!$R:$R, "Plays")</f>
        <v>39</v>
      </c>
      <c r="C5" s="17">
        <f>COUNTIFS(Kickstarter!$F:$F, "Failed", Kickstarter!$D:$D, "&gt;=10000", Kickstarter!$D:$D, "&lt;=14999", Kickstarter!$R:$R, "Plays")</f>
        <v>33</v>
      </c>
      <c r="D5" s="17">
        <f>COUNTIFS(Kickstarter!$F:$F, "Canceled", Kickstarter!$D:$D, "&gt;=10000", Kickstarter!$D:$D, "&lt;=14999", Kickstarter!$R:$R, "Plays")</f>
        <v>0</v>
      </c>
      <c r="E5" s="17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17" t="s">
        <v>8396</v>
      </c>
      <c r="B6" s="17">
        <f>COUNTIFS(Kickstarter!$F:$F, "Successful", Kickstarter!$D:$D, "&gt;=15000", Kickstarter!$D:$D, "&lt;=19999", Kickstarter!$R:$R, "Plays")</f>
        <v>12</v>
      </c>
      <c r="C6" s="17">
        <f>COUNTIFS(Kickstarter!$F:$F, "Failed", Kickstarter!$D:$D, "&gt;=15000", Kickstarter!$D:$D, "&lt;=19999", Kickstarter!$R:$R, "Plays")</f>
        <v>12</v>
      </c>
      <c r="D6" s="17">
        <f>COUNTIFS(Kickstarter!$F:$F, "Canceled", Kickstarter!$D:$D, "&gt;=15000", Kickstarter!$D:$D, "&lt;=19999", Kickstarter!$R:$R, "Plays")</f>
        <v>0</v>
      </c>
      <c r="E6" s="17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17" t="s">
        <v>8397</v>
      </c>
      <c r="B7" s="17">
        <f>COUNTIFS(Kickstarter!$F:$F, "Successful", Kickstarter!$D:$D, "&gt;=20000", Kickstarter!$D:$D, "&lt;=24999", Kickstarter!$R:$R, "Plays")</f>
        <v>9</v>
      </c>
      <c r="C7" s="17">
        <f>COUNTIFS(Kickstarter!$F:$F, "Failed", Kickstarter!$D:$D, "&gt;=20000", Kickstarter!$D:$D, "&lt;=24999", Kickstarter!$R:$R, "Plays")</f>
        <v>11</v>
      </c>
      <c r="D7" s="17">
        <f>COUNTIFS(Kickstarter!$F:$F, "Canceled", Kickstarter!$D:$D, "&gt;=20000", Kickstarter!$D:$D, "&lt;=24999", Kickstarter!$R:$R, "Plays")</f>
        <v>0</v>
      </c>
      <c r="E7" s="1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17" t="s">
        <v>8398</v>
      </c>
      <c r="B8" s="17">
        <f>COUNTIFS(Kickstarter!$F:$F, "Successful", Kickstarter!$D:$D, "&gt;=25000", Kickstarter!$D:$D, "&lt;=29999", Kickstarter!$R:$R, "Plays")</f>
        <v>1</v>
      </c>
      <c r="C8" s="17">
        <f>COUNTIFS(Kickstarter!$F:$F, "Failed", Kickstarter!$D:$D, "&gt;=25000", Kickstarter!$D:$D, "&lt;=29999", Kickstarter!$R:$R, "Plays")</f>
        <v>4</v>
      </c>
      <c r="D8" s="17">
        <f>COUNTIFS(Kickstarter!$F:$F, "Canceled", Kickstarter!$D:$D, "&gt;=25000", Kickstarter!$D:$D, "&lt;=29999", Kickstarter!$R:$R, "Plays")</f>
        <v>0</v>
      </c>
      <c r="E8" s="17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s="17" t="s">
        <v>8399</v>
      </c>
      <c r="B9" s="17">
        <f>COUNTIFS(Kickstarter!$F:$F, "Successful", Kickstarter!$D:$D, "&gt;=30000", Kickstarter!$D:$D, "&lt;=34999", Kickstarter!$R:$R, "Plays")</f>
        <v>3</v>
      </c>
      <c r="C9" s="17">
        <f>COUNTIFS(Kickstarter!$F:$F, "Failed", Kickstarter!$D:$D, "&gt;=30000", Kickstarter!$D:$D, "&lt;=34999", Kickstarter!$R:$R, "Plays")</f>
        <v>8</v>
      </c>
      <c r="D9" s="17">
        <f>COUNTIFS(Kickstarter!$F:$F, "Canceled", Kickstarter!$D:$D, "&gt;=30000", Kickstarter!$D:$D, "&lt;=34999", Kickstarter!$R:$R, "Plays")</f>
        <v>0</v>
      </c>
      <c r="E9" s="17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s="17" t="s">
        <v>8400</v>
      </c>
      <c r="B10" s="17">
        <f>COUNTIFS(Kickstarter!$F:$F, "Successful", Kickstarter!$D:$D, "&gt;=35000", Kickstarter!$D:$D, "&lt;=39999", Kickstarter!$R:$R, "Plays")</f>
        <v>4</v>
      </c>
      <c r="C10" s="17">
        <f>COUNTIFS(Kickstarter!$F:$F, "Failed", Kickstarter!$D:$D, "&gt;=35000", Kickstarter!$D:$D, "&lt;=39999", Kickstarter!$R:$R, "Plays")</f>
        <v>2</v>
      </c>
      <c r="D10" s="17">
        <f>COUNTIFS(Kickstarter!$F:$F, "Canceled", Kickstarter!$D:$D, "&gt;=35000", Kickstarter!$D:$D, "&lt;=39999", Kickstarter!$R:$R, "Plays")</f>
        <v>0</v>
      </c>
      <c r="E10" s="17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17" t="s">
        <v>8401</v>
      </c>
      <c r="B11" s="17">
        <f>COUNTIFS(Kickstarter!$F:$F, "Successful", Kickstarter!$D:$D, "&gt;=40000", Kickstarter!$D:$D, "&lt;=44999", Kickstarter!$R:$R, "Plays")</f>
        <v>2</v>
      </c>
      <c r="C11" s="17">
        <f>COUNTIFS(Kickstarter!$F:$F, "Failed", Kickstarter!$D:$D, "&gt;=40000", Kickstarter!$D:$D, "&lt;=44999", Kickstarter!$R:$R, "Plays")</f>
        <v>1</v>
      </c>
      <c r="D11" s="17">
        <f>COUNTIFS(Kickstarter!$F:$F, "Canceled", Kickstarter!$D:$D, "&gt;=40000", Kickstarter!$D:$D, "&lt;=44999", Kickstarter!$R:$R, "Plays")</f>
        <v>0</v>
      </c>
      <c r="E11" s="17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s="17" t="s">
        <v>8402</v>
      </c>
      <c r="B12" s="17">
        <f>COUNTIFS(Kickstarter!$F:$F, "Successful", Kickstarter!$D:$D, "&gt;=45000", Kickstarter!$D:$D, "&lt;=49999", Kickstarter!$R:$R, "Plays")</f>
        <v>0</v>
      </c>
      <c r="C12" s="17">
        <f>COUNTIFS(Kickstarter!$F:$F, "Failed", Kickstarter!$D:$D, "&gt;=45000", Kickstarter!$D:$D, "&lt;=49999", Kickstarter!$R:$R, "Plays")</f>
        <v>1</v>
      </c>
      <c r="D12" s="17">
        <f>COUNTIFS(Kickstarter!$F:$F, "Canceled", Kickstarter!$D:$D, "&gt;=45000", Kickstarter!$D:$D, "&lt;=49999", Kickstarter!$R:$R, "Plays")</f>
        <v>0</v>
      </c>
      <c r="E12" s="17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s="17" t="s">
        <v>8403</v>
      </c>
      <c r="B13" s="17">
        <f>COUNTIFS(Kickstarter!$F:$F, "Successful", Kickstarter!$D:$D, "&gt;50000", Kickstarter!$R:$R, "Plays")</f>
        <v>2</v>
      </c>
      <c r="C13" s="17">
        <f>COUNTIFS(Kickstarter!$F:$F, "Failed", Kickstarter!$D:$D, "&gt;50000", Kickstarter!$R:$R, "Plays")</f>
        <v>10</v>
      </c>
      <c r="D13" s="17">
        <f>COUNTIFS(Kickstarter!$F:$F, "Canceled", Kickstarter!$D:$D, "&gt;50000", Kickstarter!$R:$R, "Plays")</f>
        <v>0</v>
      </c>
      <c r="E13" s="17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Normal="100" workbookViewId="0">
      <pane ySplit="1" topLeftCell="A11" activePane="bottomLeft" state="frozen"/>
      <selection activeCell="C1" sqref="C1"/>
      <selection pane="bottomLeft" activeCell="E1" sqref="A1:XFD1"/>
    </sheetView>
  </sheetViews>
  <sheetFormatPr baseColWidth="10" defaultColWidth="8.83203125" defaultRowHeight="15" x14ac:dyDescent="0.2"/>
  <cols>
    <col min="1" max="1" width="5.1640625" bestFit="1" customWidth="1"/>
    <col min="2" max="2" width="30" style="3" customWidth="1"/>
    <col min="3" max="3" width="40.33203125" style="3" customWidth="1"/>
    <col min="4" max="4" width="14.6640625" style="6" bestFit="1" customWidth="1"/>
    <col min="5" max="5" width="12.6640625" style="6" bestFit="1" customWidth="1"/>
    <col min="6" max="6" width="15.33203125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5.83203125" bestFit="1" customWidth="1"/>
    <col min="16" max="16" width="14.5" style="6" bestFit="1" customWidth="1"/>
    <col min="17" max="17" width="13.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7" t="s">
        <v>8359</v>
      </c>
      <c r="R1" s="1" t="s">
        <v>8358</v>
      </c>
      <c r="S1" s="12" t="s">
        <v>8365</v>
      </c>
      <c r="T1" s="12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8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8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8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8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8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8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8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8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8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8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8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8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8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8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8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8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8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8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8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8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8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8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8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8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8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8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8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8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8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8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8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32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2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8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8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8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8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8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8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8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8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8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8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8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8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8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8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8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8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8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8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8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8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8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8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2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2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8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2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2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8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32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8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8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2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8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8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2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8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8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8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32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8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8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8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8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8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2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8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8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2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8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32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8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8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8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8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8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8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8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8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8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8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8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8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8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8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8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8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8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8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8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8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8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8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8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8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8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8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8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8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8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8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8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8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8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6">
        <f t="shared" si="216"/>
        <v>25.13</v>
      </c>
      <c r="Q2818" s="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ref="P2819:P2882" si="221">IFERROR(ROUND(E2819/L2819,2),0)</f>
        <v>23.64</v>
      </c>
      <c r="Q2819" s="8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8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8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8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8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8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8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8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8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8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8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8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8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8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8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8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8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8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8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8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8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8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8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8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8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8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8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8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8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8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8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8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8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8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8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8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8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8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8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8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8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8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8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8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8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8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8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8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8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8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8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8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8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8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8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8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8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6">
        <f t="shared" si="221"/>
        <v>96.55</v>
      </c>
      <c r="Q2882" s="8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ref="P2883:P2946" si="226">IFERROR(ROUND(E2883/L2883,2),0)</f>
        <v>0</v>
      </c>
      <c r="Q2883" s="8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8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8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8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8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8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8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8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8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8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8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8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8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8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8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8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8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8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8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8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8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8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8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8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8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8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8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8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8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8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8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8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8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8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8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8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8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8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8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8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8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8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8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8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8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8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8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8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8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8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8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8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8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8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8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8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8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2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8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8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8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8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8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8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8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8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6">
        <f t="shared" si="241"/>
        <v>29.05</v>
      </c>
      <c r="Q3138" s="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ref="P3139:P3202" si="246">IFERROR(ROUND(E3139/L3139,2),0)</f>
        <v>50</v>
      </c>
      <c r="Q3139" s="8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8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8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8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8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8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8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8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8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8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8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8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8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8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8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8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8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8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8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8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8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8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8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8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8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8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8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8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8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8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8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8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8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8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8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8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8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8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8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8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8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8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8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8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8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8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8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8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8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8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8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8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8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8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8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8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8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8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8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8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8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8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8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8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8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2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8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8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8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8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8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8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8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8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8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8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8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8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8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8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8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8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8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8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8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8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8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8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8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8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8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8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8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8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8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8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8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8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8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6">
        <f t="shared" si="251"/>
        <v>52.55</v>
      </c>
      <c r="Q3266" s="8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ref="P3267:P3330" si="256">IFERROR(ROUND(E3267/L3267,2),0)</f>
        <v>70.290000000000006</v>
      </c>
      <c r="Q3267" s="8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8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8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8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8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8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8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8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8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8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8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8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8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8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8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8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8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8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8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8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8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8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8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8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8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8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8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8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8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8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8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8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8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8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8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8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8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8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8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8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8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8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8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8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8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8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8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8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8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8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8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8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8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8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8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8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6">
        <f t="shared" si="256"/>
        <v>292.77999999999997</v>
      </c>
      <c r="Q3330" s="8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ref="P3331:P3394" si="261">IFERROR(ROUND(E3331/L3331,2),0)</f>
        <v>44.92</v>
      </c>
      <c r="Q3331" s="8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8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8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8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8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8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8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8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8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8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8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8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8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8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8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8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8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8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8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8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8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8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8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8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8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8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8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8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8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8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8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8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8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8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8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8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8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8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8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8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8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8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8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8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8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8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8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8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8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8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8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8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8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8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8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8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8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6">
        <f t="shared" si="261"/>
        <v>41.67</v>
      </c>
      <c r="Q3394" s="8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ref="P3395:P3458" si="266">IFERROR(ROUND(E3395/L3395,2),0)</f>
        <v>36.07</v>
      </c>
      <c r="Q3395" s="8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8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8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8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8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8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8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8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8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8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8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8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8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8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8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8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8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8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8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8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8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8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8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8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8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8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8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8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8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8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8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8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8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8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8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8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8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8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8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8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8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8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8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8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8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8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8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8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8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8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8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8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8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8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8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8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8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6">
        <f t="shared" si="266"/>
        <v>358.69</v>
      </c>
      <c r="Q3458" s="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ref="P3459:P3522" si="271">IFERROR(ROUND(E3459/L3459,2),0)</f>
        <v>50.98</v>
      </c>
      <c r="Q3459" s="8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8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8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8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8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8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8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8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8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8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8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8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8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8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8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8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8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8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8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8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8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8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8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8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8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8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8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8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8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8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8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8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8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8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8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8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8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8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8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8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8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8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8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8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8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8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8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8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8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8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8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8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8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8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8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8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8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6">
        <f t="shared" si="271"/>
        <v>95.95</v>
      </c>
      <c r="Q3522" s="8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ref="P3523:P3586" si="276">IFERROR(ROUND(E3523/L3523,2),0)</f>
        <v>45.62</v>
      </c>
      <c r="Q3523" s="8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8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8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8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8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8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8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8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8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8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8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8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8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8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8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8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8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8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8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8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8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8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8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8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8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8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8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8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8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8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8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8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8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8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8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8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8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8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8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8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8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8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8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8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8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8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8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8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8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8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8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8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8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8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8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8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8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6">
        <f t="shared" si="276"/>
        <v>30.94</v>
      </c>
      <c r="Q3586" s="8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ref="P3587:P3650" si="281">IFERROR(ROUND(E3587/L3587,2),0)</f>
        <v>176.09</v>
      </c>
      <c r="Q3587" s="8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2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8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8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8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8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8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8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8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8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8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8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8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8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8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8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8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8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8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8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8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8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8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8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8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8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8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8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8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8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8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8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8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8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8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8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8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8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8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6">
        <f t="shared" si="281"/>
        <v>550.04</v>
      </c>
      <c r="Q3650" s="8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ref="P3651:P3714" si="286">IFERROR(ROUND(E3651/L3651,2),0)</f>
        <v>97.5</v>
      </c>
      <c r="Q3651" s="8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8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8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8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8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8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8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8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8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8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8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8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8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8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8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8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2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8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8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8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8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8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8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8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8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8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8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8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8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8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8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8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8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8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8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8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8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8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8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8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8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8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8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8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8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8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8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8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8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8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8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8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8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8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8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8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8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8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6">
        <f t="shared" si="286"/>
        <v>110.87</v>
      </c>
      <c r="Q3714" s="8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ref="P3715:P3778" si="291">IFERROR(ROUND(E3715/L3715,2),0)</f>
        <v>106.84</v>
      </c>
      <c r="Q3715" s="8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8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8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8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8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8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8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8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8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8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8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8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8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8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8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8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8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8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8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8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8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8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8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8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8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8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8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8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8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8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2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8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8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8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8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8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8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8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8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8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8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8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8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8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8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8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8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8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8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8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8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8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8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8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8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8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8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8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8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8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8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6">
        <f t="shared" si="296"/>
        <v>21.67</v>
      </c>
      <c r="Q3842" s="8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ref="P3843:P3906" si="301">IFERROR(ROUND(E3843/L3843,2),0)</f>
        <v>25.65</v>
      </c>
      <c r="Q3843" s="8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8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8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8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8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8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8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8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8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8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8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8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8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8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8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8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8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8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8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8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8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8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8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8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8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8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8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8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8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8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8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8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8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8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8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8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8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8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8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2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6">
        <f t="shared" si="301"/>
        <v>1.5</v>
      </c>
      <c r="Q3906" s="8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ref="P3907:P3970" si="306">IFERROR(ROUND(E3907/L3907,2),0)</f>
        <v>24.71</v>
      </c>
      <c r="Q3907" s="8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8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8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8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8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8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8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8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8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8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8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8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8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8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8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8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8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8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8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8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8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8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8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8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8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8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8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8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8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8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8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8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8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8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8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8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8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8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8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8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8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8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8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8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8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8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8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8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8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8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8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8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8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8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8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8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6">
        <f t="shared" si="306"/>
        <v>47.91</v>
      </c>
      <c r="Q3970" s="8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ref="P3971:P4034" si="311">IFERROR(ROUND(E3971/L3971,2),0)</f>
        <v>35.17</v>
      </c>
      <c r="Q3971" s="8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8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8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8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8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8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8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8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8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8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8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8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8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8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8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8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8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8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8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8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8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8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8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8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8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8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8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8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8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8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8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8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8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8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8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8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8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8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8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8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8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8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8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8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8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8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8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8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8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8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8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8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8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8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8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8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8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6">
        <f t="shared" si="311"/>
        <v>59</v>
      </c>
      <c r="Q4034" s="8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ref="P4035:P4098" si="316">IFERROR(ROUND(E4035/L4035,2),0)</f>
        <v>65.34</v>
      </c>
      <c r="Q4035" s="8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8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8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8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8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8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8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8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8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8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8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8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8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8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8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8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8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8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8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8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8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8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8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8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8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8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8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8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8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8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8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8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8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8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8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8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8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8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8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8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8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8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8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8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8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8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8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8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8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8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8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8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8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8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8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8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8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6">
        <f t="shared" si="316"/>
        <v>80</v>
      </c>
      <c r="Q4098" s="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ref="P4099:P4115" si="321">IFERROR(ROUND(E4099/L4099,2),0)</f>
        <v>0</v>
      </c>
      <c r="Q4099" s="8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8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8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8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8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8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8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8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8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8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8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8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8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8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8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8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8">
    <sortCondition ref="A1:A4118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AFAE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5CC1C-5DA7-254E-86A7-080CA1C056A6}">
  <dimension ref="A1:E18"/>
  <sheetViews>
    <sheetView workbookViewId="0">
      <selection activeCell="F2" sqref="F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8359</v>
      </c>
      <c r="B1" t="s">
        <v>8315</v>
      </c>
    </row>
    <row r="2" spans="1:5" x14ac:dyDescent="0.2">
      <c r="A2" s="9" t="s">
        <v>8379</v>
      </c>
      <c r="B2" t="s">
        <v>8362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1A26-285C-C744-AED7-8F4967128177}">
  <dimension ref="A2:F7"/>
  <sheetViews>
    <sheetView workbookViewId="0">
      <selection activeCell="A16" sqref="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9" t="s">
        <v>8222</v>
      </c>
      <c r="B2" t="s">
        <v>8223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1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6A00F-1DC2-B54C-8919-16876C73FAD2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8223</v>
      </c>
    </row>
    <row r="2" spans="1:5" x14ac:dyDescent="0.2">
      <c r="A2" s="9" t="s">
        <v>8359</v>
      </c>
      <c r="B2" t="s">
        <v>8362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1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7346-9A54-F147-B19E-63EB40E2E714}">
  <dimension ref="A1:F18"/>
  <sheetViews>
    <sheetView workbookViewId="0">
      <selection activeCell="Q2" sqref="Q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8359</v>
      </c>
      <c r="B1" t="s">
        <v>8315</v>
      </c>
    </row>
    <row r="2" spans="1:6" x14ac:dyDescent="0.2">
      <c r="A2" s="9" t="s">
        <v>8379</v>
      </c>
      <c r="B2" t="s">
        <v>8362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33246-7908-7243-AA95-2D087FB4DC88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28.6640625" bestFit="1" customWidth="1"/>
    <col min="2" max="2" width="43" style="3" customWidth="1"/>
    <col min="3" max="3" width="10.83203125" style="6"/>
    <col min="4" max="4" width="11.6640625" style="6" bestFit="1" customWidth="1"/>
    <col min="5" max="5" width="14.5" style="6" bestFit="1" customWidth="1"/>
  </cols>
  <sheetData>
    <row r="1" spans="1:6" ht="16" x14ac:dyDescent="0.2">
      <c r="A1" t="s">
        <v>8380</v>
      </c>
      <c r="B1" s="3" t="s">
        <v>4110</v>
      </c>
      <c r="C1" s="6" t="s">
        <v>8381</v>
      </c>
      <c r="D1" s="6" t="s">
        <v>8382</v>
      </c>
      <c r="E1" s="6" t="s">
        <v>8383</v>
      </c>
      <c r="F1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15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15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15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15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15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Outcomes Based on Goals</vt:lpstr>
      <vt:lpstr>Kickstarter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Plays</vt:lpstr>
      <vt:lpstr>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Evans</cp:lastModifiedBy>
  <dcterms:created xsi:type="dcterms:W3CDTF">2017-04-20T15:17:24Z</dcterms:created>
  <dcterms:modified xsi:type="dcterms:W3CDTF">2022-08-31T12:03:36Z</dcterms:modified>
</cp:coreProperties>
</file>