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e1c7ab116142a6/문서/"/>
    </mc:Choice>
  </mc:AlternateContent>
  <xr:revisionPtr revIDLastSave="591" documentId="8_{E1DD1CCA-787A-4E4A-A750-77CF4E5CF465}" xr6:coauthVersionLast="47" xr6:coauthVersionMax="47" xr10:uidLastSave="{70CA93B6-8247-4C65-9936-FB6DDA91B587}"/>
  <bookViews>
    <workbookView xWindow="13530" yWindow="15" windowWidth="14400" windowHeight="15600" xr2:uid="{14E1F7C9-BAD5-4734-AC00-DFE093C093DB}"/>
  </bookViews>
  <sheets>
    <sheet name="3주차 1차시" sheetId="1" r:id="rId1"/>
    <sheet name="3주차 2차시" sheetId="2" r:id="rId2"/>
    <sheet name="3주차 3차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102" i="3"/>
  <c r="D100" i="3"/>
  <c r="C100" i="3"/>
  <c r="B91" i="3"/>
  <c r="D84" i="3"/>
  <c r="D86" i="3" s="1"/>
  <c r="C84" i="3"/>
  <c r="C86" i="3" s="1"/>
  <c r="C75" i="3"/>
  <c r="B69" i="3"/>
  <c r="B68" i="3"/>
  <c r="C41" i="3"/>
  <c r="B43" i="3" s="1"/>
  <c r="B45" i="3" s="1"/>
  <c r="B47" i="3" s="1"/>
  <c r="B48" i="3" s="1"/>
  <c r="B39" i="3"/>
  <c r="B31" i="3"/>
  <c r="B33" i="3" s="1"/>
  <c r="B34" i="3" s="1"/>
  <c r="B29" i="3"/>
  <c r="C27" i="3"/>
  <c r="B25" i="3"/>
  <c r="C20" i="3"/>
  <c r="C169" i="2"/>
  <c r="E148" i="2"/>
  <c r="E146" i="2"/>
  <c r="C146" i="2"/>
  <c r="D145" i="2"/>
  <c r="C145" i="2"/>
  <c r="C139" i="2"/>
  <c r="E132" i="2"/>
  <c r="D132" i="2"/>
  <c r="C132" i="2"/>
  <c r="C129" i="2"/>
  <c r="C130" i="2" s="1"/>
  <c r="E130" i="2" s="1"/>
  <c r="C123" i="2"/>
  <c r="C100" i="2"/>
  <c r="D87" i="2"/>
  <c r="D89" i="2" s="1"/>
  <c r="C80" i="2"/>
  <c r="D72" i="2"/>
  <c r="D74" i="2" s="1"/>
  <c r="C65" i="2"/>
  <c r="E29" i="2"/>
  <c r="E28" i="2"/>
  <c r="E27" i="2"/>
  <c r="B67" i="1"/>
  <c r="F66" i="1"/>
  <c r="F65" i="1"/>
  <c r="F64" i="1"/>
  <c r="E43" i="1"/>
  <c r="F39" i="1"/>
  <c r="B47" i="1"/>
  <c r="C46" i="1"/>
  <c r="B46" i="1"/>
  <c r="E30" i="2" l="1"/>
</calcChain>
</file>

<file path=xl/sharedStrings.xml><?xml version="1.0" encoding="utf-8"?>
<sst xmlns="http://schemas.openxmlformats.org/spreadsheetml/2006/main" count="325" uniqueCount="239">
  <si>
    <t xml:space="preserve">정의 </t>
    <phoneticPr fontId="1" type="noConversion"/>
  </si>
  <si>
    <t>헤지하고자 하는 대상자산과 선물의 기초자산이 다른 경우에 사용하는 헤지 방법</t>
    <phoneticPr fontId="1" type="noConversion"/>
  </si>
  <si>
    <t>예제</t>
    <phoneticPr fontId="1" type="noConversion"/>
  </si>
  <si>
    <t>제트 연료(jet fuel)에 대한 수요를 가지고 있는 항공사</t>
    <phoneticPr fontId="1" type="noConversion"/>
  </si>
  <si>
    <t>제트 연료에 대한 선물계약은 존재하지 않는 반면, 이와 유사한 난방유(Heating Oil)에 대한 선물계약이 존재</t>
    <phoneticPr fontId="1" type="noConversion"/>
  </si>
  <si>
    <t>교차 헤지를 통해서 일부 헤지 효과를 기대할 수 있음</t>
    <phoneticPr fontId="1" type="noConversion"/>
  </si>
  <si>
    <t>헤지비율(Hedge ratio)</t>
    <phoneticPr fontId="1" type="noConversion"/>
  </si>
  <si>
    <t>정의 : (선물 포지션 규모) / (위험노출의 규모)</t>
    <phoneticPr fontId="1" type="noConversion"/>
  </si>
  <si>
    <t>일반적인 선물을 이용한 헤지에서의 헤지비율 = 1</t>
    <phoneticPr fontId="1" type="noConversion"/>
  </si>
  <si>
    <t>교차헤지에서는 헤지비율이 항상 1 이 아님</t>
    <phoneticPr fontId="1" type="noConversion"/>
  </si>
  <si>
    <t xml:space="preserve"> &gt;1   -&gt; 오버헤지</t>
    <phoneticPr fontId="1" type="noConversion"/>
  </si>
  <si>
    <t>&lt;1 -&gt; 언더헤지</t>
    <phoneticPr fontId="1" type="noConversion"/>
  </si>
  <si>
    <t>최적헤지비율(optimal hedge ratio)</t>
    <phoneticPr fontId="1" type="noConversion"/>
  </si>
  <si>
    <t>최소분산헤지비율(Minimum variance hedge ratio)라고도 함</t>
    <phoneticPr fontId="1" type="noConversion"/>
  </si>
  <si>
    <r>
      <t xml:space="preserve">h* =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 xml:space="preserve"> *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</rPr>
      <t xml:space="preserve">S /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</rPr>
      <t xml:space="preserve">F </t>
    </r>
    <phoneticPr fontId="1" type="noConversion"/>
  </si>
  <si>
    <r>
      <t xml:space="preserve">단,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S와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F는 각각 현물가격 변화와 선물가격 변화의 표준편차를 의미하며,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Arial Unicode MS"/>
        <family val="2"/>
        <charset val="129"/>
      </rPr>
      <t>는 현물가격 변화와 선물가격 변화간의 상관계수를 의미</t>
    </r>
    <phoneticPr fontId="1" type="noConversion"/>
  </si>
  <si>
    <t>최적헤지비율 사례</t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</si>
  <si>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S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F,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 xml:space="preserve"> = 1 : 최적헤지비율 = 1</t>
    </r>
    <phoneticPr fontId="1" type="noConversion"/>
  </si>
  <si>
    <t>위험에 노출된 현물 포지션이 100이라면, 선물도 100만큼 거래</t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</si>
  <si>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S &gt;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F,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 xml:space="preserve"> = 1 : 최적헤지비율 &gt; 1</t>
    </r>
    <phoneticPr fontId="1" type="noConversion"/>
  </si>
  <si>
    <t>위험에 노출된 현물포지션이 100이라면, 선물은 100이상을 거래</t>
    <phoneticPr fontId="1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</si>
  <si>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S &lt;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F, </t>
    </r>
    <r>
      <rPr>
        <sz val="11"/>
        <color theme="1"/>
        <rFont val="Calibri"/>
        <family val="2"/>
        <charset val="161"/>
      </rPr>
      <t>ρ</t>
    </r>
    <r>
      <rPr>
        <sz val="11"/>
        <color theme="1"/>
        <rFont val="맑은 고딕"/>
        <family val="2"/>
        <charset val="129"/>
        <scheme val="minor"/>
      </rPr>
      <t xml:space="preserve"> = 1 : 최적헤지비율 &lt; 1</t>
    </r>
    <phoneticPr fontId="1" type="noConversion"/>
  </si>
  <si>
    <t>위험에 노출된 현물 포지션이 100이라면, 선물은 100이하를 거래</t>
    <phoneticPr fontId="1" type="noConversion"/>
  </si>
  <si>
    <t>(언더헤지)</t>
    <phoneticPr fontId="1" type="noConversion"/>
  </si>
  <si>
    <t>(오버헤지)</t>
    <phoneticPr fontId="1" type="noConversion"/>
  </si>
  <si>
    <t>제트연료</t>
    <phoneticPr fontId="1" type="noConversion"/>
  </si>
  <si>
    <t>난방유 선물계약</t>
    <phoneticPr fontId="1" type="noConversion"/>
  </si>
  <si>
    <t>표준편차</t>
    <phoneticPr fontId="1" type="noConversion"/>
  </si>
  <si>
    <t>상관계수</t>
    <phoneticPr fontId="1" type="noConversion"/>
  </si>
  <si>
    <t>최적헤지비율</t>
    <phoneticPr fontId="1" type="noConversion"/>
  </si>
  <si>
    <t>h*</t>
    <phoneticPr fontId="1" type="noConversion"/>
  </si>
  <si>
    <t>CME 난방유 선물 계약단위는 42,000 갤런</t>
    <phoneticPr fontId="1" type="noConversion"/>
  </si>
  <si>
    <t>최적 선물계약 수 = 0.714*(2,000,000/42,000) = 33.99</t>
    <phoneticPr fontId="1" type="noConversion"/>
  </si>
  <si>
    <t>따라서 약 34계약 매입선물</t>
    <phoneticPr fontId="1" type="noConversion"/>
  </si>
  <si>
    <t>Rolling the hedge forward</t>
    <phoneticPr fontId="1" type="noConversion"/>
  </si>
  <si>
    <t>2020년 12월에 원유 100배럴을 판매할 예정인 원유생산업체</t>
    <phoneticPr fontId="1" type="noConversion"/>
  </si>
  <si>
    <t>원유 선물 1계약은 100배럴에 해당한다고 가정</t>
    <phoneticPr fontId="1" type="noConversion"/>
  </si>
  <si>
    <t>현재 시장에서 거래할 수 있는 선물의 만기가 2020년 6월 물 밖에 없다고 하면,</t>
    <phoneticPr fontId="1" type="noConversion"/>
  </si>
  <si>
    <t>선물가격 1 : 마감 선물의 가격, 선물가격 2 : 매도선물의 가격</t>
    <phoneticPr fontId="1" type="noConversion"/>
  </si>
  <si>
    <t xml:space="preserve">날짜 </t>
    <phoneticPr fontId="1" type="noConversion"/>
  </si>
  <si>
    <t>거래</t>
    <phoneticPr fontId="1" type="noConversion"/>
  </si>
  <si>
    <t>현물가격</t>
    <phoneticPr fontId="1" type="noConversion"/>
  </si>
  <si>
    <t>선물가격1</t>
    <phoneticPr fontId="1" type="noConversion"/>
  </si>
  <si>
    <t>선물가격2</t>
    <phoneticPr fontId="1" type="noConversion"/>
  </si>
  <si>
    <t>손익</t>
    <phoneticPr fontId="1" type="noConversion"/>
  </si>
  <si>
    <t>현재</t>
    <phoneticPr fontId="1" type="noConversion"/>
  </si>
  <si>
    <t>2006 선물1계약 $72.00에 매도</t>
    <phoneticPr fontId="1" type="noConversion"/>
  </si>
  <si>
    <t>20년 6월</t>
    <phoneticPr fontId="1" type="noConversion"/>
  </si>
  <si>
    <t>20년 9월</t>
    <phoneticPr fontId="1" type="noConversion"/>
  </si>
  <si>
    <t>20년 12월</t>
    <phoneticPr fontId="1" type="noConversion"/>
  </si>
  <si>
    <t>2006 마감 + 2009 매도</t>
    <phoneticPr fontId="1" type="noConversion"/>
  </si>
  <si>
    <t>2009 마감 + 2012 매도</t>
    <phoneticPr fontId="1" type="noConversion"/>
  </si>
  <si>
    <t>2012 마감</t>
    <phoneticPr fontId="1" type="noConversion"/>
  </si>
  <si>
    <t>합계</t>
    <phoneticPr fontId="1" type="noConversion"/>
  </si>
  <si>
    <t>헤지기간이 모든 선물 계약의 만기일보다 더 늦은 경우에 사용하는 헤지 방법</t>
    <phoneticPr fontId="1" type="noConversion"/>
  </si>
  <si>
    <t>cross hedge(교차헤지)</t>
    <phoneticPr fontId="1" type="noConversion"/>
  </si>
  <si>
    <t>투자자산</t>
    <phoneticPr fontId="1" type="noConversion"/>
  </si>
  <si>
    <t>많은 투자자들에 의해 투자목적으로 보유되는 자산</t>
    <phoneticPr fontId="1" type="noConversion"/>
  </si>
  <si>
    <t>주식 / 채권 / 금 / 은 등</t>
    <phoneticPr fontId="1" type="noConversion"/>
  </si>
  <si>
    <t>소비자산</t>
    <phoneticPr fontId="1" type="noConversion"/>
  </si>
  <si>
    <t>우선적으로 소비를 목적을 보유되는 자산</t>
    <phoneticPr fontId="1" type="noConversion"/>
  </si>
  <si>
    <t>구리 / 석유 / 돼지고기 / 옥수수 등</t>
    <phoneticPr fontId="1" type="noConversion"/>
  </si>
  <si>
    <t>선도 / 선물 가격의 결정</t>
    <phoneticPr fontId="1" type="noConversion"/>
  </si>
  <si>
    <t>투자자산 : 공매도를 사용하여 결정</t>
    <phoneticPr fontId="1" type="noConversion"/>
  </si>
  <si>
    <t>소비자산 : 공매도를 사용할 수 없음</t>
    <phoneticPr fontId="1" type="noConversion"/>
  </si>
  <si>
    <t>Short Selling</t>
    <phoneticPr fontId="1" type="noConversion"/>
  </si>
  <si>
    <t>소유하고 있지 않은 증권을 매도하는 행위</t>
    <phoneticPr fontId="1" type="noConversion"/>
  </si>
  <si>
    <t>공매의 프로세스</t>
    <phoneticPr fontId="1" type="noConversion"/>
  </si>
  <si>
    <t>투자자의 공매주문 -&gt; 브로커가 다른고객으로부터 주식을 빌려 시장에 매도 -&gt; 투자자의 매입 및 포지션 마감 -&gt; 매입한 주식은 원래 빌려온 고객의 계좌로 이동</t>
    <phoneticPr fontId="1" type="noConversion"/>
  </si>
  <si>
    <t>공매를 위해서는 계약의 이행을 보증하기 위한 증거금 계정이 필요</t>
    <phoneticPr fontId="1" type="noConversion"/>
  </si>
  <si>
    <t xml:space="preserve">예제 </t>
    <phoneticPr fontId="1" type="noConversion"/>
  </si>
  <si>
    <t>현재 IBM 주식이 주당 US$120, 1개월 후 주당 US$1의 배당 실시, 2개월 후 주가는 주당 US$100으로 변화</t>
    <phoneticPr fontId="1" type="noConversion"/>
  </si>
  <si>
    <t>현재 IBM 주식 500주를 공매도 하고, 2개월 후 청산을 한다고 할 때의 현금흐름은?</t>
    <phoneticPr fontId="1" type="noConversion"/>
  </si>
  <si>
    <t>배당시점</t>
    <phoneticPr fontId="1" type="noConversion"/>
  </si>
  <si>
    <t>청산시점</t>
    <phoneticPr fontId="1" type="noConversion"/>
  </si>
  <si>
    <t>주가</t>
    <phoneticPr fontId="1" type="noConversion"/>
  </si>
  <si>
    <t>주식수</t>
    <phoneticPr fontId="1" type="noConversion"/>
  </si>
  <si>
    <t>주식가치</t>
    <phoneticPr fontId="1" type="noConversion"/>
  </si>
  <si>
    <t>선도계약</t>
    <phoneticPr fontId="1" type="noConversion"/>
  </si>
  <si>
    <t>forward pricing</t>
    <phoneticPr fontId="1" type="noConversion"/>
  </si>
  <si>
    <t>모든 거래에는 거래비용이 없음</t>
    <phoneticPr fontId="1" type="noConversion"/>
  </si>
  <si>
    <t>모든 거래의 순이익에 대해 동일한 세율이 적용됨</t>
    <phoneticPr fontId="1" type="noConversion"/>
  </si>
  <si>
    <t>차입이자율과 예금이자율은 모두 무위험 이자율로 동일</t>
    <phoneticPr fontId="1" type="noConversion"/>
  </si>
  <si>
    <t>차익거래기회를 이용하는 투자자가 존재</t>
    <phoneticPr fontId="1" type="noConversion"/>
  </si>
  <si>
    <t>-&gt; 투자자산에게만 위의 가정이 성립하면 됨</t>
    <phoneticPr fontId="1" type="noConversion"/>
  </si>
  <si>
    <t>T: 선도계약의 인도일까지의 기간(연 단위)</t>
    <phoneticPr fontId="1" type="noConversion"/>
  </si>
  <si>
    <t>S: 선도계약 기초자산의 현재가격, F: 선도계약의 현재가격</t>
    <phoneticPr fontId="1" type="noConversion"/>
  </si>
  <si>
    <t>r: 현재의 무위험 이자율(만기 : T)</t>
    <phoneticPr fontId="1" type="noConversion"/>
  </si>
  <si>
    <t>투자자산의 분류</t>
    <phoneticPr fontId="1" type="noConversion"/>
  </si>
  <si>
    <t>중간무소득 투자자산 : 무배당 주식 / 무이표채 등</t>
    <phoneticPr fontId="1" type="noConversion"/>
  </si>
  <si>
    <t>예정소득(known dollar income) 투자자산: 배당이 예정된 주식 / 이표채 등</t>
    <phoneticPr fontId="1" type="noConversion"/>
  </si>
  <si>
    <t>예정수익률(known yield) 투자자산: 연간 일정한 예정수익률을 제공하는 자산</t>
    <phoneticPr fontId="1" type="noConversion"/>
  </si>
  <si>
    <t>만기</t>
    <phoneticPr fontId="1" type="noConversion"/>
  </si>
  <si>
    <t>기초자산의 공매</t>
    <phoneticPr fontId="1" type="noConversion"/>
  </si>
  <si>
    <t>S0</t>
    <phoneticPr fontId="1" type="noConversion"/>
  </si>
  <si>
    <t>-ST</t>
    <phoneticPr fontId="1" type="noConversion"/>
  </si>
  <si>
    <t>예금</t>
    <phoneticPr fontId="1" type="noConversion"/>
  </si>
  <si>
    <t>-S0</t>
    <phoneticPr fontId="1" type="noConversion"/>
  </si>
  <si>
    <t>S0(1+r)^T</t>
    <phoneticPr fontId="1" type="noConversion"/>
  </si>
  <si>
    <t>선도계약의 매수 포지션</t>
    <phoneticPr fontId="1" type="noConversion"/>
  </si>
  <si>
    <t>ST-F0</t>
    <phoneticPr fontId="1" type="noConversion"/>
  </si>
  <si>
    <t>S0(1+r)^T - F0</t>
    <phoneticPr fontId="1" type="noConversion"/>
  </si>
  <si>
    <t>F0 = S0(1+r)^T</t>
    <phoneticPr fontId="1" type="noConversion"/>
  </si>
  <si>
    <t>no-arbitrage</t>
    <phoneticPr fontId="1" type="noConversion"/>
  </si>
  <si>
    <t>현재 주가</t>
    <phoneticPr fontId="1" type="noConversion"/>
  </si>
  <si>
    <t xml:space="preserve">3개월 무위험 이자율(연) </t>
    <phoneticPr fontId="1" type="noConversion"/>
  </si>
  <si>
    <t>선도가격의 결정</t>
    <phoneticPr fontId="1" type="noConversion"/>
  </si>
  <si>
    <t>F0 = S0(1+r)^T or F0 = S0e^rT</t>
    <phoneticPr fontId="1" type="noConversion"/>
  </si>
  <si>
    <t>F0 =</t>
    <phoneticPr fontId="1" type="noConversion"/>
  </si>
  <si>
    <t>차익거래의 활용</t>
    <phoneticPr fontId="1" type="noConversion"/>
  </si>
  <si>
    <t>선도가격</t>
    <phoneticPr fontId="1" type="noConversion"/>
  </si>
  <si>
    <t>기초자산의 매수</t>
    <phoneticPr fontId="1" type="noConversion"/>
  </si>
  <si>
    <t>대출</t>
    <phoneticPr fontId="1" type="noConversion"/>
  </si>
  <si>
    <t>선도계약의 매도 포지션</t>
    <phoneticPr fontId="1" type="noConversion"/>
  </si>
  <si>
    <t>ST</t>
    <phoneticPr fontId="1" type="noConversion"/>
  </si>
  <si>
    <t>43 - ST</t>
    <phoneticPr fontId="1" type="noConversion"/>
  </si>
  <si>
    <t>3개월 무위험 이자율(연)</t>
    <phoneticPr fontId="1" type="noConversion"/>
  </si>
  <si>
    <t>F0=</t>
    <phoneticPr fontId="1" type="noConversion"/>
  </si>
  <si>
    <t>기초 자산의 공매도</t>
    <phoneticPr fontId="1" type="noConversion"/>
  </si>
  <si>
    <t>ST-39</t>
    <phoneticPr fontId="1" type="noConversion"/>
  </si>
  <si>
    <t>F0 = S0(1+r -q)^T</t>
    <phoneticPr fontId="1" type="noConversion"/>
  </si>
  <si>
    <t>현재 KOSPI 200지수</t>
    <phoneticPr fontId="1" type="noConversion"/>
  </si>
  <si>
    <t>향후 3개월의 KOSPI 예상배당률</t>
    <phoneticPr fontId="1" type="noConversion"/>
  </si>
  <si>
    <t>만기가 3개월 남은 KOSPI 200 지수 선도가격은?</t>
    <phoneticPr fontId="1" type="noConversion"/>
  </si>
  <si>
    <t>선도가격의 결정(with known Yield)</t>
    <phoneticPr fontId="1" type="noConversion"/>
  </si>
  <si>
    <t>무차익거래 가정(with no Income)</t>
    <phoneticPr fontId="1" type="noConversion"/>
  </si>
  <si>
    <t>공매가 가능하지 않다면?</t>
    <phoneticPr fontId="1" type="noConversion"/>
  </si>
  <si>
    <t>공매가 모든 사람에게 자유롭지 않다 하더라도 선도가격의 결정 공식은 여전히 유효</t>
    <phoneticPr fontId="1" type="noConversion"/>
  </si>
  <si>
    <t>전제조건</t>
    <phoneticPr fontId="1" type="noConversion"/>
  </si>
  <si>
    <t>충분히 소유할 수 있다는 가정</t>
    <phoneticPr fontId="1" type="noConversion"/>
  </si>
  <si>
    <t>with known Dividend</t>
    <phoneticPr fontId="1" type="noConversion"/>
  </si>
  <si>
    <t>배당일(t)</t>
    <phoneticPr fontId="1" type="noConversion"/>
  </si>
  <si>
    <t>만기(T)</t>
    <phoneticPr fontId="1" type="noConversion"/>
  </si>
  <si>
    <t>-I</t>
    <phoneticPr fontId="1" type="noConversion"/>
  </si>
  <si>
    <t>-I / (1+r)^t</t>
    <phoneticPr fontId="1" type="noConversion"/>
  </si>
  <si>
    <t>I</t>
    <phoneticPr fontId="1" type="noConversion"/>
  </si>
  <si>
    <t>-[S0 -I / (1+r)^t</t>
    <phoneticPr fontId="1" type="noConversion"/>
  </si>
  <si>
    <t xml:space="preserve"> </t>
    <phoneticPr fontId="1" type="noConversion"/>
  </si>
  <si>
    <t>[S0 - I / (1+r)^t] * (1+r)^T</t>
    <phoneticPr fontId="1" type="noConversion"/>
  </si>
  <si>
    <t>ST - F0</t>
    <phoneticPr fontId="1" type="noConversion"/>
  </si>
  <si>
    <t>Total</t>
    <phoneticPr fontId="1" type="noConversion"/>
  </si>
  <si>
    <t>[S0 - I / (1+r)^t] * (1+r)^T - F0</t>
    <phoneticPr fontId="1" type="noConversion"/>
  </si>
  <si>
    <t>[S0 - I / (1+r)^t]*(1+r)^T</t>
    <phoneticPr fontId="1" type="noConversion"/>
  </si>
  <si>
    <t>No-arbitrage</t>
    <phoneticPr fontId="1" type="noConversion"/>
  </si>
  <si>
    <t>3개월, 9개월 무위험 이자율(연)</t>
    <phoneticPr fontId="1" type="noConversion"/>
  </si>
  <si>
    <t>만기가 9개월 남은 배당 주식에 대한 선도계약(3개월 후 40 배당)</t>
    <phoneticPr fontId="1" type="noConversion"/>
  </si>
  <si>
    <t>선도계약의 매도포지션</t>
    <phoneticPr fontId="1" type="noConversion"/>
  </si>
  <si>
    <t>선도가격이 910일 경우</t>
    <phoneticPr fontId="1" type="noConversion"/>
  </si>
  <si>
    <t>910 - ST</t>
    <phoneticPr fontId="1" type="noConversion"/>
  </si>
  <si>
    <t>total</t>
    <phoneticPr fontId="1" type="noConversion"/>
  </si>
  <si>
    <t>3개월, 9개월 무위험 이자율</t>
    <phoneticPr fontId="1" type="noConversion"/>
  </si>
  <si>
    <t xml:space="preserve">F0 = </t>
    <phoneticPr fontId="1" type="noConversion"/>
  </si>
  <si>
    <t>선도가격이 870인 경우</t>
    <phoneticPr fontId="1" type="noConversion"/>
  </si>
  <si>
    <t>기초자산의 공매도</t>
    <phoneticPr fontId="1" type="noConversion"/>
  </si>
  <si>
    <t>ST-870</t>
    <phoneticPr fontId="1" type="noConversion"/>
  </si>
  <si>
    <t>K : 계약체결시 선도계약의 가격(i.e., 선도계약의 인도가격)</t>
    <phoneticPr fontId="1" type="noConversion"/>
  </si>
  <si>
    <t>F : 계약체결 이후 선도계약의 현재가격</t>
    <phoneticPr fontId="1" type="noConversion"/>
  </si>
  <si>
    <t>f : 체결한 선도계약의 현재 가치(손익)</t>
    <phoneticPr fontId="1" type="noConversion"/>
  </si>
  <si>
    <t>T : 현재부터 선도계약 만기까지의 기간</t>
    <phoneticPr fontId="1" type="noConversion"/>
  </si>
  <si>
    <t>r : T 기간 동안의 무위험 이자율</t>
    <phoneticPr fontId="1" type="noConversion"/>
  </si>
  <si>
    <t>매입선도계약의 평가</t>
    <phoneticPr fontId="1" type="noConversion"/>
  </si>
  <si>
    <t>매도선도계약의 평가</t>
    <phoneticPr fontId="1" type="noConversion"/>
  </si>
  <si>
    <t>f = ( F - K ) * 1 / (1+r)^T</t>
    <phoneticPr fontId="1" type="noConversion"/>
  </si>
  <si>
    <t>f = ( K - F ) * 1 / (1+r)^T</t>
    <phoneticPr fontId="1" type="noConversion"/>
  </si>
  <si>
    <t>잔존 만기 6개월 무배당 주식에 대한 선도계약 매입</t>
    <phoneticPr fontId="1" type="noConversion"/>
  </si>
  <si>
    <t xml:space="preserve">현재 선도가격 </t>
    <phoneticPr fontId="1" type="noConversion"/>
  </si>
  <si>
    <t>인도가격(매입선도가격)</t>
    <phoneticPr fontId="1" type="noConversion"/>
  </si>
  <si>
    <t>무위험이자율</t>
    <phoneticPr fontId="1" type="noConversion"/>
  </si>
  <si>
    <t>선도계약의 평가가치는?</t>
    <phoneticPr fontId="1" type="noConversion"/>
  </si>
  <si>
    <t>f=</t>
    <phoneticPr fontId="1" type="noConversion"/>
  </si>
  <si>
    <t>주식 포트폴리오의 헤지비율</t>
    <phoneticPr fontId="1" type="noConversion"/>
  </si>
  <si>
    <t>주가지수선물은 주가지수와의 베타가 거의 1이라고 할 수 있음</t>
    <phoneticPr fontId="1" type="noConversion"/>
  </si>
  <si>
    <t>주식 포트폴리오의 경우</t>
    <phoneticPr fontId="1" type="noConversion"/>
  </si>
  <si>
    <t>1. 포트폴리오 베타 &gt; 1 : 포트폴리오 가치보다 더 많은 금액의 선물 매도</t>
    <phoneticPr fontId="1" type="noConversion"/>
  </si>
  <si>
    <t>2. 포트폴리오 베타 &lt; 1 : 포트폴리오 가치보다 더 적은 금액의 선물 매도</t>
    <phoneticPr fontId="1" type="noConversion"/>
  </si>
  <si>
    <t>Hedgeing the stock portfolio</t>
    <phoneticPr fontId="1" type="noConversion"/>
  </si>
  <si>
    <r>
      <t xml:space="preserve">N* = </t>
    </r>
    <r>
      <rPr>
        <sz val="11"/>
        <color theme="1"/>
        <rFont val="Calibri"/>
        <family val="2"/>
        <charset val="161"/>
      </rPr>
      <t>β</t>
    </r>
    <r>
      <rPr>
        <sz val="11"/>
        <color theme="1"/>
        <rFont val="맑은 고딕"/>
        <family val="2"/>
        <charset val="129"/>
        <scheme val="minor"/>
      </rPr>
      <t>* P / A</t>
    </r>
    <phoneticPr fontId="1" type="noConversion"/>
  </si>
  <si>
    <t>S&amp;P 지수 = 1000</t>
    <phoneticPr fontId="1" type="noConversion"/>
  </si>
  <si>
    <t>보유 포트폴리오의 가치</t>
    <phoneticPr fontId="1" type="noConversion"/>
  </si>
  <si>
    <r>
      <t xml:space="preserve">포트폴리오 </t>
    </r>
    <r>
      <rPr>
        <sz val="11"/>
        <color theme="1"/>
        <rFont val="Calibri"/>
        <family val="2"/>
        <charset val="161"/>
      </rPr>
      <t>β</t>
    </r>
    <phoneticPr fontId="1" type="noConversion"/>
  </si>
  <si>
    <t>무휘험 이자율(연)</t>
    <phoneticPr fontId="1" type="noConversion"/>
  </si>
  <si>
    <t>배당(연)</t>
    <phoneticPr fontId="1" type="noConversion"/>
  </si>
  <si>
    <t>S&amp;P 지수선물의 만기가 지금으로부터 4개월 남았으며, 가격은 1010이라고 가정</t>
    <phoneticPr fontId="1" type="noConversion"/>
  </si>
  <si>
    <t xml:space="preserve">매도해야 할 선물계약의 수 </t>
    <phoneticPr fontId="1" type="noConversion"/>
  </si>
  <si>
    <t>S&amp;P 지수선물의 1계약 금액</t>
    <phoneticPr fontId="1" type="noConversion"/>
  </si>
  <si>
    <t>overhedge</t>
    <phoneticPr fontId="1" type="noConversion"/>
  </si>
  <si>
    <t>underhedge</t>
    <phoneticPr fontId="1" type="noConversion"/>
  </si>
  <si>
    <t xml:space="preserve"> = (지수선물가격) * 250</t>
    <phoneticPr fontId="1" type="noConversion"/>
  </si>
  <si>
    <t>case1</t>
    <phoneticPr fontId="1" type="noConversion"/>
  </si>
  <si>
    <t>3개월 후 S&amp;P 지수는 900, 해당 지수선물의 가격은 902가 예상될 경우</t>
    <phoneticPr fontId="1" type="noConversion"/>
  </si>
  <si>
    <t>선물포지션에서의 손익</t>
    <phoneticPr fontId="1" type="noConversion"/>
  </si>
  <si>
    <t>포트폴리오의 가치변화</t>
    <phoneticPr fontId="1" type="noConversion"/>
  </si>
  <si>
    <t>주가지수 수익률</t>
    <phoneticPr fontId="1" type="noConversion"/>
  </si>
  <si>
    <t>CAPM에 따른 포트폴리오 기대 수익률</t>
    <phoneticPr fontId="1" type="noConversion"/>
  </si>
  <si>
    <t>포트폴리오의 기대가치</t>
    <phoneticPr fontId="1" type="noConversion"/>
  </si>
  <si>
    <t>총기대가치</t>
    <phoneticPr fontId="1" type="noConversion"/>
  </si>
  <si>
    <t>case2</t>
    <phoneticPr fontId="1" type="noConversion"/>
  </si>
  <si>
    <t>3개월 후 S&amp;P 지수</t>
    <phoneticPr fontId="1" type="noConversion"/>
  </si>
  <si>
    <t>해당지수선물가격(예상)</t>
    <phoneticPr fontId="1" type="noConversion"/>
  </si>
  <si>
    <t>주식포트폴리오를 해지하는 이유</t>
    <phoneticPr fontId="1" type="noConversion"/>
  </si>
  <si>
    <t>포트폴리오가 잘 구성되어서 시장보다 높은 수익률을 올릴 수있다고 판단 할 때 활용</t>
    <phoneticPr fontId="1" type="noConversion"/>
  </si>
  <si>
    <t>장기보유자의 경우 단기적인 시장위험을 회피하고자 할 때 활용</t>
    <phoneticPr fontId="1" type="noConversion"/>
  </si>
  <si>
    <t>2. 이 경우 베타로부터 발생하는 시장위험만 제거하는 효과</t>
    <phoneticPr fontId="1" type="noConversion"/>
  </si>
  <si>
    <t>1. 즉, 베타를 고려한 이후의 조정 수익률이 높을 것이라고 판단</t>
    <phoneticPr fontId="1" type="noConversion"/>
  </si>
  <si>
    <t>포트폴리오 베타의 변화</t>
    <phoneticPr fontId="1" type="noConversion"/>
  </si>
  <si>
    <t>헤지비율만큼 완전해지(Full hedge)를 한경우</t>
    <phoneticPr fontId="1" type="noConversion"/>
  </si>
  <si>
    <t>앞의 예</t>
    <phoneticPr fontId="1" type="noConversion"/>
  </si>
  <si>
    <t>헤지비율과 달리 부분헤지(Partial hedge; over hedge or under hedge)를 한경우</t>
    <phoneticPr fontId="1" type="noConversion"/>
  </si>
  <si>
    <t>(보유 포트폴리오 + 선물 포지션)의 베타 = 0</t>
    <phoneticPr fontId="1" type="noConversion"/>
  </si>
  <si>
    <t xml:space="preserve">(보유 포트폴리오 + 선물 포지션)의 베타 &gt; 0 or &lt; 0 </t>
    <phoneticPr fontId="1" type="noConversion"/>
  </si>
  <si>
    <t>앞의 예에서 선물을 20 계약 매도 : 전체 포지션 베타 = 0.5</t>
    <phoneticPr fontId="1" type="noConversion"/>
  </si>
  <si>
    <t>앞의 예에서 선물을 10 계약 매입 : 전체 포지션 베타 = 2.0</t>
    <phoneticPr fontId="1" type="noConversion"/>
  </si>
  <si>
    <t>Index Arbitrage</t>
    <phoneticPr fontId="1" type="noConversion"/>
  </si>
  <si>
    <t>KOSPI 200 지수선물의 이론가격</t>
    <phoneticPr fontId="1" type="noConversion"/>
  </si>
  <si>
    <t xml:space="preserve">F0 = S0*(1+r-q)^T </t>
    <phoneticPr fontId="1" type="noConversion"/>
  </si>
  <si>
    <t>365일에서 252일이 영업일이라 가정</t>
    <phoneticPr fontId="1" type="noConversion"/>
  </si>
  <si>
    <t>*무위험이자율 연 2%가정</t>
    <phoneticPr fontId="1" type="noConversion"/>
  </si>
  <si>
    <t>*KOSPI 200 지수의 배당률은 연 0% 가정</t>
    <phoneticPr fontId="1" type="noConversion"/>
  </si>
  <si>
    <t xml:space="preserve">지수차익거래 </t>
    <phoneticPr fontId="1" type="noConversion"/>
  </si>
  <si>
    <t>선도계약 매수 포지션</t>
    <phoneticPr fontId="1" type="noConversion"/>
  </si>
  <si>
    <t>ST - 284.55</t>
    <phoneticPr fontId="1" type="noConversion"/>
  </si>
  <si>
    <t>F0= S0(1+r-q)^T</t>
    <phoneticPr fontId="1" type="noConversion"/>
  </si>
  <si>
    <t>무위험 이자율은 연 2% 가정</t>
    <phoneticPr fontId="1" type="noConversion"/>
  </si>
  <si>
    <t>KOSPI 200 지수의 배당률은 연 0% 가정</t>
    <phoneticPr fontId="1" type="noConversion"/>
  </si>
  <si>
    <t>지수차익거래(Index arbitrage)</t>
    <phoneticPr fontId="1" type="noConversion"/>
  </si>
  <si>
    <t xml:space="preserve">선물가격 </t>
    <phoneticPr fontId="1" type="noConversion"/>
  </si>
  <si>
    <t>기초자산의매수</t>
    <phoneticPr fontId="1" type="noConversion"/>
  </si>
  <si>
    <t>289.5- ST</t>
    <phoneticPr fontId="1" type="noConversion"/>
  </si>
  <si>
    <t>프로그램 매매(Program trading)</t>
    <phoneticPr fontId="1" type="noConversion"/>
  </si>
  <si>
    <t>컴퓨터로 자동화된 지수차익거래</t>
    <phoneticPr fontId="1" type="noConversion"/>
  </si>
  <si>
    <t>프로그램 매수</t>
    <phoneticPr fontId="1" type="noConversion"/>
  </si>
  <si>
    <t xml:space="preserve">주가지수 포트폴리오( 즉, 인덱스 펀드) 매수 + 주가지수선물 매도 </t>
    <phoneticPr fontId="1" type="noConversion"/>
  </si>
  <si>
    <t>주로 베이시스가 확대될때 발생</t>
    <phoneticPr fontId="1" type="noConversion"/>
  </si>
  <si>
    <t>프로그램 매수차익잔소의 급증 → 향후 주가지수의 하락의 원인으로 작용</t>
    <phoneticPr fontId="1" type="noConversion"/>
  </si>
  <si>
    <t>프로그램 매도</t>
    <phoneticPr fontId="1" type="noConversion"/>
  </si>
  <si>
    <t>주가지수 포트폴리오(즉, 인덱스 펀드) 공매 + 주가지수선물 매입</t>
    <phoneticPr fontId="1" type="noConversion"/>
  </si>
  <si>
    <t>주로 베이시스가 축소되거나 음수가 될때 발생</t>
    <phoneticPr fontId="1" type="noConversion"/>
  </si>
  <si>
    <t>베이시스 = F - S</t>
    <phoneticPr fontId="1" type="noConversion"/>
  </si>
  <si>
    <t>프로그램 매도차익잔고의 급장 → 향후 주가지수의 상승원인으로 작용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</si>
</sst>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00%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Arial Unicode MS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61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19F4-BA72-4772-A35B-3D48CADF8DE9}">
  <dimension ref="A2:G67"/>
  <sheetViews>
    <sheetView tabSelected="1" topLeftCell="A29" workbookViewId="0">
      <selection activeCell="D48" sqref="D48"/>
    </sheetView>
  </sheetViews>
  <sheetFormatPr defaultRowHeight="16.5"/>
  <cols>
    <col min="2" max="2" width="28.75" bestFit="1" customWidth="1"/>
    <col min="4" max="5" width="10" bestFit="1" customWidth="1"/>
  </cols>
  <sheetData>
    <row r="2" spans="1:1">
      <c r="A2" t="s">
        <v>55</v>
      </c>
    </row>
    <row r="4" spans="1:1">
      <c r="A4" t="s">
        <v>0</v>
      </c>
    </row>
    <row r="5" spans="1:1">
      <c r="A5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10</v>
      </c>
    </row>
    <row r="17" spans="1:7">
      <c r="A17" t="s">
        <v>11</v>
      </c>
    </row>
    <row r="19" spans="1:7">
      <c r="A19" t="s">
        <v>12</v>
      </c>
    </row>
    <row r="20" spans="1:7">
      <c r="A20" t="s">
        <v>13</v>
      </c>
    </row>
    <row r="22" spans="1:7">
      <c r="A22" t="s">
        <v>14</v>
      </c>
    </row>
    <row r="24" spans="1:7">
      <c r="A24" t="s">
        <v>15</v>
      </c>
    </row>
    <row r="26" spans="1:7">
      <c r="A26" t="s">
        <v>16</v>
      </c>
    </row>
    <row r="27" spans="1:7">
      <c r="A27" s="1" t="s">
        <v>17</v>
      </c>
    </row>
    <row r="28" spans="1:7">
      <c r="A28" s="1" t="s">
        <v>18</v>
      </c>
    </row>
    <row r="29" spans="1:7">
      <c r="A29" s="1" t="s">
        <v>19</v>
      </c>
    </row>
    <row r="30" spans="1:7">
      <c r="A30" s="1" t="s">
        <v>20</v>
      </c>
      <c r="G30" t="s">
        <v>24</v>
      </c>
    </row>
    <row r="31" spans="1:7">
      <c r="A31" s="1" t="s">
        <v>21</v>
      </c>
    </row>
    <row r="32" spans="1:7">
      <c r="A32" s="1" t="s">
        <v>22</v>
      </c>
      <c r="G32" t="s">
        <v>23</v>
      </c>
    </row>
    <row r="35" spans="1:6">
      <c r="B35" t="s">
        <v>25</v>
      </c>
      <c r="C35" t="s">
        <v>26</v>
      </c>
    </row>
    <row r="36" spans="1:6">
      <c r="B36">
        <v>2.9000000000000001E-2</v>
      </c>
      <c r="C36">
        <v>2.1000000000000001E-2</v>
      </c>
    </row>
    <row r="37" spans="1:6">
      <c r="B37">
        <v>0.02</v>
      </c>
      <c r="C37">
        <v>3.5000000000000003E-2</v>
      </c>
    </row>
    <row r="38" spans="1:6">
      <c r="B38">
        <v>-4.3999999999999997E-2</v>
      </c>
      <c r="C38">
        <v>-4.5999999999999999E-2</v>
      </c>
      <c r="E38" t="s">
        <v>29</v>
      </c>
    </row>
    <row r="39" spans="1:6">
      <c r="B39">
        <v>8.0000000000000002E-3</v>
      </c>
      <c r="C39">
        <v>1E-3</v>
      </c>
      <c r="E39" t="s">
        <v>30</v>
      </c>
      <c r="F39">
        <f>B47*(B46/C46)</f>
        <v>0.71373352179305982</v>
      </c>
    </row>
    <row r="40" spans="1:6">
      <c r="B40">
        <v>2.5999999999999999E-2</v>
      </c>
      <c r="C40">
        <v>4.3999999999999997E-2</v>
      </c>
    </row>
    <row r="41" spans="1:6">
      <c r="B41">
        <v>-1.9E-2</v>
      </c>
      <c r="C41">
        <v>-2.9000000000000001E-2</v>
      </c>
      <c r="E41" t="s">
        <v>31</v>
      </c>
    </row>
    <row r="42" spans="1:6">
      <c r="B42">
        <v>-0.01</v>
      </c>
      <c r="C42">
        <v>-2.5999999999999999E-2</v>
      </c>
      <c r="E42" t="s">
        <v>32</v>
      </c>
    </row>
    <row r="43" spans="1:6">
      <c r="B43">
        <v>-7.0000000000000001E-3</v>
      </c>
      <c r="C43">
        <v>-2.9000000000000001E-2</v>
      </c>
      <c r="E43">
        <f>F39*2000000/42000</f>
        <v>33.987310561574276</v>
      </c>
    </row>
    <row r="44" spans="1:6">
      <c r="B44">
        <v>4.2999999999999997E-2</v>
      </c>
      <c r="C44">
        <v>4.8000000000000001E-2</v>
      </c>
      <c r="E44" t="s">
        <v>33</v>
      </c>
    </row>
    <row r="45" spans="1:6">
      <c r="B45">
        <v>1.0999999999999999E-2</v>
      </c>
      <c r="C45">
        <v>-6.0000000000000001E-3</v>
      </c>
    </row>
    <row r="46" spans="1:6">
      <c r="A46" t="s">
        <v>27</v>
      </c>
      <c r="B46">
        <f>_xlfn.STDEV.S(B36:B45)</f>
        <v>2.5974560203741233E-2</v>
      </c>
      <c r="C46">
        <f>_xlfn.STDEV.S(C36:C45)</f>
        <v>3.3993626853671653E-2</v>
      </c>
    </row>
    <row r="47" spans="1:6">
      <c r="A47" t="s">
        <v>28</v>
      </c>
      <c r="B47">
        <f>CORREL(B36:B45,C36:C45)</f>
        <v>0.93408284192221203</v>
      </c>
    </row>
    <row r="48" spans="1:6">
      <c r="D48">
        <f>_xlfn.COVARIANCE.S(B36:B45,C36:C45)/_xlfn.VAR.S(C36:C45)</f>
        <v>0.71373352179305971</v>
      </c>
    </row>
    <row r="50" spans="1:6">
      <c r="A50" t="s">
        <v>34</v>
      </c>
    </row>
    <row r="52" spans="1:6">
      <c r="A52" t="s">
        <v>0</v>
      </c>
    </row>
    <row r="53" spans="1:6">
      <c r="A53" t="s">
        <v>54</v>
      </c>
    </row>
    <row r="55" spans="1:6">
      <c r="A55" t="s">
        <v>2</v>
      </c>
    </row>
    <row r="56" spans="1:6">
      <c r="A56" t="s">
        <v>35</v>
      </c>
    </row>
    <row r="57" spans="1:6">
      <c r="A57" t="s">
        <v>36</v>
      </c>
    </row>
    <row r="58" spans="1:6">
      <c r="A58" t="s">
        <v>37</v>
      </c>
    </row>
    <row r="60" spans="1:6">
      <c r="A60" t="s">
        <v>38</v>
      </c>
    </row>
    <row r="62" spans="1:6">
      <c r="A62" t="s">
        <v>39</v>
      </c>
      <c r="B62" t="s">
        <v>40</v>
      </c>
      <c r="C62" t="s">
        <v>41</v>
      </c>
      <c r="D62" t="s">
        <v>42</v>
      </c>
      <c r="E62" t="s">
        <v>43</v>
      </c>
      <c r="F62" t="s">
        <v>44</v>
      </c>
    </row>
    <row r="63" spans="1:6">
      <c r="A63" t="s">
        <v>45</v>
      </c>
      <c r="B63" t="s">
        <v>46</v>
      </c>
      <c r="C63">
        <v>71.5</v>
      </c>
      <c r="E63">
        <v>72</v>
      </c>
    </row>
    <row r="64" spans="1:6">
      <c r="A64" t="s">
        <v>47</v>
      </c>
      <c r="B64" t="s">
        <v>50</v>
      </c>
      <c r="C64">
        <v>80</v>
      </c>
      <c r="D64">
        <v>80</v>
      </c>
      <c r="E64">
        <v>81</v>
      </c>
      <c r="F64">
        <f>E63-C64</f>
        <v>-8</v>
      </c>
    </row>
    <row r="65" spans="1:6">
      <c r="A65" t="s">
        <v>48</v>
      </c>
      <c r="B65" t="s">
        <v>51</v>
      </c>
      <c r="C65">
        <v>75</v>
      </c>
      <c r="D65">
        <v>75</v>
      </c>
      <c r="E65">
        <v>75.5</v>
      </c>
      <c r="F65">
        <f>E64-C65</f>
        <v>6</v>
      </c>
    </row>
    <row r="66" spans="1:6">
      <c r="A66" t="s">
        <v>49</v>
      </c>
      <c r="B66" t="s">
        <v>52</v>
      </c>
      <c r="C66">
        <v>84.5</v>
      </c>
      <c r="D66">
        <v>84.5</v>
      </c>
      <c r="F66">
        <f>E65-C66</f>
        <v>-9</v>
      </c>
    </row>
    <row r="67" spans="1:6">
      <c r="A67" t="s">
        <v>53</v>
      </c>
      <c r="B67">
        <f>C66+SUM(F64:F66)</f>
        <v>73.5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1E59-FE66-49AF-A44F-4921AC462042}">
  <dimension ref="B2:E169"/>
  <sheetViews>
    <sheetView topLeftCell="A145" workbookViewId="0">
      <selection activeCell="B106" sqref="B106"/>
    </sheetView>
  </sheetViews>
  <sheetFormatPr defaultRowHeight="16.5"/>
  <cols>
    <col min="2" max="2" width="22.75" bestFit="1" customWidth="1"/>
    <col min="3" max="3" width="15.5" bestFit="1" customWidth="1"/>
    <col min="4" max="4" width="14.375" bestFit="1" customWidth="1"/>
    <col min="5" max="5" width="30" bestFit="1" customWidth="1"/>
  </cols>
  <sheetData>
    <row r="2" spans="2:2">
      <c r="B2" t="s">
        <v>56</v>
      </c>
    </row>
    <row r="3" spans="2:2">
      <c r="B3" t="s">
        <v>57</v>
      </c>
    </row>
    <row r="4" spans="2:2">
      <c r="B4" t="s">
        <v>58</v>
      </c>
    </row>
    <row r="6" spans="2:2">
      <c r="B6" t="s">
        <v>59</v>
      </c>
    </row>
    <row r="7" spans="2:2">
      <c r="B7" t="s">
        <v>60</v>
      </c>
    </row>
    <row r="8" spans="2:2">
      <c r="B8" t="s">
        <v>61</v>
      </c>
    </row>
    <row r="10" spans="2:2">
      <c r="B10" t="s">
        <v>62</v>
      </c>
    </row>
    <row r="11" spans="2:2">
      <c r="B11" t="s">
        <v>63</v>
      </c>
    </row>
    <row r="12" spans="2:2">
      <c r="B12" t="s">
        <v>64</v>
      </c>
    </row>
    <row r="15" spans="2:2">
      <c r="B15" t="s">
        <v>65</v>
      </c>
    </row>
    <row r="16" spans="2:2">
      <c r="B16" t="s">
        <v>0</v>
      </c>
    </row>
    <row r="17" spans="2:5">
      <c r="B17" t="s">
        <v>66</v>
      </c>
    </row>
    <row r="19" spans="2:5">
      <c r="B19" t="s">
        <v>67</v>
      </c>
    </row>
    <row r="20" spans="2:5">
      <c r="B20" t="s">
        <v>68</v>
      </c>
    </row>
    <row r="21" spans="2:5">
      <c r="B21" t="s">
        <v>69</v>
      </c>
    </row>
    <row r="23" spans="2:5">
      <c r="B23" t="s">
        <v>70</v>
      </c>
    </row>
    <row r="24" spans="2:5">
      <c r="B24" t="s">
        <v>71</v>
      </c>
    </row>
    <row r="25" spans="2:5">
      <c r="B25" t="s">
        <v>72</v>
      </c>
    </row>
    <row r="26" spans="2:5">
      <c r="C26" t="s">
        <v>75</v>
      </c>
      <c r="D26" t="s">
        <v>76</v>
      </c>
      <c r="E26" t="s">
        <v>77</v>
      </c>
    </row>
    <row r="27" spans="2:5">
      <c r="B27" t="s">
        <v>45</v>
      </c>
      <c r="C27">
        <v>120</v>
      </c>
      <c r="D27">
        <v>500</v>
      </c>
      <c r="E27">
        <f>D27*C27</f>
        <v>60000</v>
      </c>
    </row>
    <row r="28" spans="2:5">
      <c r="B28" t="s">
        <v>73</v>
      </c>
      <c r="C28">
        <v>-1</v>
      </c>
      <c r="D28">
        <v>500</v>
      </c>
      <c r="E28">
        <f>D28*C28</f>
        <v>-500</v>
      </c>
    </row>
    <row r="29" spans="2:5">
      <c r="B29" t="s">
        <v>74</v>
      </c>
      <c r="C29">
        <v>100</v>
      </c>
      <c r="D29">
        <v>-500</v>
      </c>
      <c r="E29">
        <f>D29*C29</f>
        <v>-50000</v>
      </c>
    </row>
    <row r="30" spans="2:5">
      <c r="E30">
        <f>SUM(E27:E29)</f>
        <v>9500</v>
      </c>
    </row>
    <row r="33" spans="2:3">
      <c r="B33" t="s">
        <v>78</v>
      </c>
      <c r="C33" t="s">
        <v>79</v>
      </c>
    </row>
    <row r="34" spans="2:3">
      <c r="B34" t="s">
        <v>80</v>
      </c>
    </row>
    <row r="35" spans="2:3">
      <c r="B35" t="s">
        <v>81</v>
      </c>
    </row>
    <row r="36" spans="2:3">
      <c r="B36" t="s">
        <v>82</v>
      </c>
    </row>
    <row r="37" spans="2:3">
      <c r="B37" t="s">
        <v>83</v>
      </c>
    </row>
    <row r="38" spans="2:3">
      <c r="B38" s="2" t="s">
        <v>84</v>
      </c>
    </row>
    <row r="40" spans="2:3">
      <c r="B40" t="s">
        <v>85</v>
      </c>
    </row>
    <row r="41" spans="2:3">
      <c r="B41" t="s">
        <v>86</v>
      </c>
    </row>
    <row r="42" spans="2:3">
      <c r="B42" t="s">
        <v>87</v>
      </c>
    </row>
    <row r="44" spans="2:3">
      <c r="B44" t="s">
        <v>88</v>
      </c>
    </row>
    <row r="45" spans="2:3">
      <c r="B45" t="s">
        <v>89</v>
      </c>
    </row>
    <row r="46" spans="2:3">
      <c r="B46" t="s">
        <v>90</v>
      </c>
    </row>
    <row r="47" spans="2:3">
      <c r="B47" t="s">
        <v>91</v>
      </c>
    </row>
    <row r="50" spans="2:4">
      <c r="B50" t="s">
        <v>125</v>
      </c>
    </row>
    <row r="52" spans="2:4">
      <c r="B52" t="s">
        <v>40</v>
      </c>
      <c r="C52" t="s">
        <v>45</v>
      </c>
      <c r="D52" t="s">
        <v>92</v>
      </c>
    </row>
    <row r="53" spans="2:4">
      <c r="B53" t="s">
        <v>93</v>
      </c>
      <c r="C53" t="s">
        <v>94</v>
      </c>
      <c r="D53" s="2" t="s">
        <v>95</v>
      </c>
    </row>
    <row r="54" spans="2:4">
      <c r="B54" t="s">
        <v>96</v>
      </c>
      <c r="C54" s="2" t="s">
        <v>97</v>
      </c>
      <c r="D54" t="s">
        <v>98</v>
      </c>
    </row>
    <row r="55" spans="2:4">
      <c r="B55" t="s">
        <v>99</v>
      </c>
      <c r="D55" t="s">
        <v>100</v>
      </c>
    </row>
    <row r="56" spans="2:4">
      <c r="B56" t="s">
        <v>53</v>
      </c>
      <c r="C56">
        <v>0</v>
      </c>
      <c r="D56" t="s">
        <v>101</v>
      </c>
    </row>
    <row r="57" spans="2:4">
      <c r="B57" t="s">
        <v>103</v>
      </c>
    </row>
    <row r="58" spans="2:4">
      <c r="B58" s="2" t="s">
        <v>102</v>
      </c>
    </row>
    <row r="60" spans="2:4">
      <c r="B60" t="s">
        <v>2</v>
      </c>
    </row>
    <row r="61" spans="2:4">
      <c r="B61" t="s">
        <v>104</v>
      </c>
      <c r="C61">
        <v>40</v>
      </c>
    </row>
    <row r="62" spans="2:4">
      <c r="B62" t="s">
        <v>105</v>
      </c>
      <c r="C62" s="3">
        <v>0.05</v>
      </c>
    </row>
    <row r="63" spans="2:4">
      <c r="B63" t="s">
        <v>106</v>
      </c>
    </row>
    <row r="64" spans="2:4">
      <c r="B64" t="s">
        <v>107</v>
      </c>
    </row>
    <row r="65" spans="2:4">
      <c r="B65" t="s">
        <v>108</v>
      </c>
      <c r="C65">
        <f>C61*(1+C62)^0.25</f>
        <v>40.490889377161572</v>
      </c>
    </row>
    <row r="67" spans="2:4">
      <c r="B67" t="s">
        <v>109</v>
      </c>
    </row>
    <row r="68" spans="2:4">
      <c r="B68" t="s">
        <v>110</v>
      </c>
      <c r="C68">
        <v>43</v>
      </c>
    </row>
    <row r="70" spans="2:4">
      <c r="B70" t="s">
        <v>40</v>
      </c>
      <c r="C70" t="s">
        <v>45</v>
      </c>
      <c r="D70" t="s">
        <v>92</v>
      </c>
    </row>
    <row r="71" spans="2:4">
      <c r="B71" t="s">
        <v>111</v>
      </c>
      <c r="C71">
        <v>-40</v>
      </c>
      <c r="D71" t="s">
        <v>114</v>
      </c>
    </row>
    <row r="72" spans="2:4">
      <c r="B72" t="s">
        <v>112</v>
      </c>
      <c r="C72">
        <v>40</v>
      </c>
      <c r="D72">
        <f>-C61*(1+C62)^0.25</f>
        <v>-40.490889377161572</v>
      </c>
    </row>
    <row r="73" spans="2:4">
      <c r="B73" t="s">
        <v>113</v>
      </c>
      <c r="D73" t="s">
        <v>115</v>
      </c>
    </row>
    <row r="74" spans="2:4">
      <c r="B74" t="s">
        <v>53</v>
      </c>
      <c r="C74">
        <v>0</v>
      </c>
      <c r="D74">
        <f>43+D72</f>
        <v>2.5091106228384277</v>
      </c>
    </row>
    <row r="77" spans="2:4">
      <c r="B77" t="s">
        <v>2</v>
      </c>
    </row>
    <row r="78" spans="2:4">
      <c r="B78" t="s">
        <v>104</v>
      </c>
      <c r="C78">
        <v>40</v>
      </c>
    </row>
    <row r="79" spans="2:4">
      <c r="B79" t="s">
        <v>116</v>
      </c>
      <c r="C79" s="3">
        <v>0.05</v>
      </c>
    </row>
    <row r="80" spans="2:4">
      <c r="B80" t="s">
        <v>117</v>
      </c>
      <c r="C80">
        <f>C78*(1+C79)^0.25</f>
        <v>40.490889377161572</v>
      </c>
    </row>
    <row r="82" spans="2:4">
      <c r="B82" t="s">
        <v>109</v>
      </c>
    </row>
    <row r="83" spans="2:4">
      <c r="B83" t="s">
        <v>110</v>
      </c>
      <c r="C83">
        <v>39</v>
      </c>
    </row>
    <row r="85" spans="2:4">
      <c r="B85" t="s">
        <v>40</v>
      </c>
      <c r="C85" t="s">
        <v>45</v>
      </c>
      <c r="D85" t="s">
        <v>92</v>
      </c>
    </row>
    <row r="86" spans="2:4">
      <c r="B86" t="s">
        <v>118</v>
      </c>
      <c r="C86">
        <v>40</v>
      </c>
      <c r="D86" s="2" t="s">
        <v>95</v>
      </c>
    </row>
    <row r="87" spans="2:4">
      <c r="B87" t="s">
        <v>96</v>
      </c>
      <c r="C87">
        <v>-40</v>
      </c>
      <c r="D87">
        <f>-C87*(1+C79)^0.25</f>
        <v>40.490889377161572</v>
      </c>
    </row>
    <row r="88" spans="2:4">
      <c r="B88" t="s">
        <v>99</v>
      </c>
      <c r="D88" t="s">
        <v>119</v>
      </c>
    </row>
    <row r="89" spans="2:4">
      <c r="B89" t="s">
        <v>53</v>
      </c>
      <c r="C89">
        <v>0</v>
      </c>
      <c r="D89">
        <f>D87-39</f>
        <v>1.4908893771615723</v>
      </c>
    </row>
    <row r="92" spans="2:4">
      <c r="B92" t="s">
        <v>124</v>
      </c>
    </row>
    <row r="93" spans="2:4">
      <c r="B93" t="s">
        <v>120</v>
      </c>
    </row>
    <row r="95" spans="2:4">
      <c r="B95" t="s">
        <v>2</v>
      </c>
    </row>
    <row r="96" spans="2:4">
      <c r="B96" t="s">
        <v>121</v>
      </c>
      <c r="C96">
        <v>200</v>
      </c>
    </row>
    <row r="97" spans="2:5">
      <c r="B97" t="s">
        <v>116</v>
      </c>
      <c r="C97" s="3">
        <v>0.05</v>
      </c>
    </row>
    <row r="98" spans="2:5">
      <c r="B98" t="s">
        <v>122</v>
      </c>
      <c r="C98" s="3">
        <v>0.03</v>
      </c>
    </row>
    <row r="99" spans="2:5">
      <c r="B99" t="s">
        <v>123</v>
      </c>
    </row>
    <row r="100" spans="2:5">
      <c r="B100" t="s">
        <v>117</v>
      </c>
      <c r="C100">
        <f>C96*(1+C97-C98)^0.25</f>
        <v>200.99258631464076</v>
      </c>
    </row>
    <row r="102" spans="2:5">
      <c r="B102" t="s">
        <v>126</v>
      </c>
    </row>
    <row r="103" spans="2:5">
      <c r="B103" t="s">
        <v>127</v>
      </c>
    </row>
    <row r="104" spans="2:5">
      <c r="B104" t="s">
        <v>128</v>
      </c>
    </row>
    <row r="105" spans="2:5">
      <c r="B105" t="s">
        <v>129</v>
      </c>
    </row>
    <row r="107" spans="2:5">
      <c r="B107" t="s">
        <v>130</v>
      </c>
    </row>
    <row r="109" spans="2:5">
      <c r="B109" t="s">
        <v>40</v>
      </c>
      <c r="C109" t="s">
        <v>45</v>
      </c>
      <c r="D109" t="s">
        <v>131</v>
      </c>
      <c r="E109" t="s">
        <v>132</v>
      </c>
    </row>
    <row r="110" spans="2:5">
      <c r="B110" t="s">
        <v>93</v>
      </c>
      <c r="C110" t="s">
        <v>94</v>
      </c>
      <c r="D110" s="2" t="s">
        <v>133</v>
      </c>
      <c r="E110" s="2" t="s">
        <v>95</v>
      </c>
    </row>
    <row r="111" spans="2:5">
      <c r="B111" t="s">
        <v>96</v>
      </c>
      <c r="C111" s="2" t="s">
        <v>134</v>
      </c>
      <c r="D111" t="s">
        <v>135</v>
      </c>
    </row>
    <row r="112" spans="2:5">
      <c r="B112" t="s">
        <v>96</v>
      </c>
      <c r="C112" s="2" t="s">
        <v>136</v>
      </c>
      <c r="D112" t="s">
        <v>137</v>
      </c>
      <c r="E112" t="s">
        <v>138</v>
      </c>
    </row>
    <row r="113" spans="2:5">
      <c r="B113" t="s">
        <v>99</v>
      </c>
      <c r="E113" t="s">
        <v>139</v>
      </c>
    </row>
    <row r="114" spans="2:5">
      <c r="B114" t="s">
        <v>140</v>
      </c>
      <c r="C114">
        <v>0</v>
      </c>
      <c r="D114">
        <v>0</v>
      </c>
      <c r="E114" t="s">
        <v>141</v>
      </c>
    </row>
    <row r="115" spans="2:5">
      <c r="B115" t="s">
        <v>143</v>
      </c>
    </row>
    <row r="116" spans="2:5">
      <c r="B116" t="s">
        <v>117</v>
      </c>
      <c r="C116" t="s">
        <v>142</v>
      </c>
    </row>
    <row r="118" spans="2:5">
      <c r="B118" t="s">
        <v>2</v>
      </c>
    </row>
    <row r="119" spans="2:5">
      <c r="B119" t="s">
        <v>104</v>
      </c>
      <c r="C119">
        <v>900</v>
      </c>
    </row>
    <row r="120" spans="2:5">
      <c r="B120" t="s">
        <v>144</v>
      </c>
      <c r="C120" s="3">
        <v>0.03</v>
      </c>
      <c r="D120" s="3">
        <v>0.04</v>
      </c>
    </row>
    <row r="121" spans="2:5">
      <c r="B121" t="s">
        <v>145</v>
      </c>
      <c r="C121" s="3"/>
      <c r="D121" s="3"/>
    </row>
    <row r="122" spans="2:5">
      <c r="B122" t="s">
        <v>106</v>
      </c>
    </row>
    <row r="123" spans="2:5">
      <c r="B123" t="s">
        <v>117</v>
      </c>
      <c r="C123">
        <f>(C119-(40/(1+C120)^0.25))*(1+D120)^0.75</f>
        <v>885.97639290428731</v>
      </c>
    </row>
    <row r="125" spans="2:5">
      <c r="B125" t="s">
        <v>109</v>
      </c>
    </row>
    <row r="126" spans="2:5">
      <c r="B126" t="s">
        <v>147</v>
      </c>
    </row>
    <row r="127" spans="2:5">
      <c r="B127" t="s">
        <v>40</v>
      </c>
      <c r="C127" t="s">
        <v>45</v>
      </c>
      <c r="D127" t="s">
        <v>131</v>
      </c>
      <c r="E127" t="s">
        <v>132</v>
      </c>
    </row>
    <row r="128" spans="2:5">
      <c r="B128" t="s">
        <v>111</v>
      </c>
      <c r="C128">
        <v>-900</v>
      </c>
      <c r="D128">
        <v>40</v>
      </c>
      <c r="E128" t="s">
        <v>114</v>
      </c>
    </row>
    <row r="129" spans="2:5">
      <c r="B129" t="s">
        <v>112</v>
      </c>
      <c r="C129">
        <f>40/(1+C120)^0.25</f>
        <v>39.705501445805581</v>
      </c>
      <c r="D129">
        <v>-40</v>
      </c>
    </row>
    <row r="130" spans="2:5">
      <c r="B130" t="s">
        <v>112</v>
      </c>
      <c r="C130">
        <f>900-C129</f>
        <v>860.29449855419443</v>
      </c>
      <c r="E130">
        <f>-C130*(1+D120)^0.75</f>
        <v>-885.97639290428731</v>
      </c>
    </row>
    <row r="131" spans="2:5">
      <c r="B131" t="s">
        <v>146</v>
      </c>
      <c r="E131" t="s">
        <v>148</v>
      </c>
    </row>
    <row r="132" spans="2:5">
      <c r="B132" t="s">
        <v>149</v>
      </c>
      <c r="C132">
        <f>SUM(C128:C131)</f>
        <v>0</v>
      </c>
      <c r="D132">
        <f>SUM(D128:D131)</f>
        <v>0</v>
      </c>
      <c r="E132">
        <f>910+E130</f>
        <v>24.023607095712691</v>
      </c>
    </row>
    <row r="135" spans="2:5">
      <c r="B135" t="s">
        <v>2</v>
      </c>
    </row>
    <row r="136" spans="2:5">
      <c r="B136" t="s">
        <v>104</v>
      </c>
      <c r="C136">
        <v>900</v>
      </c>
    </row>
    <row r="137" spans="2:5">
      <c r="B137" t="s">
        <v>150</v>
      </c>
      <c r="C137" s="3">
        <v>0.03</v>
      </c>
      <c r="D137" s="3">
        <v>0.04</v>
      </c>
    </row>
    <row r="138" spans="2:5">
      <c r="B138" t="s">
        <v>106</v>
      </c>
    </row>
    <row r="139" spans="2:5">
      <c r="B139" t="s">
        <v>151</v>
      </c>
      <c r="C139">
        <f>(C136-40/(1+C137)^0.25)*(1+D137)^0.75</f>
        <v>885.97639290428731</v>
      </c>
    </row>
    <row r="141" spans="2:5">
      <c r="B141" t="s">
        <v>109</v>
      </c>
    </row>
    <row r="142" spans="2:5">
      <c r="B142" t="s">
        <v>152</v>
      </c>
    </row>
    <row r="143" spans="2:5">
      <c r="B143" t="s">
        <v>40</v>
      </c>
      <c r="C143" t="s">
        <v>45</v>
      </c>
      <c r="D143" t="s">
        <v>131</v>
      </c>
      <c r="E143" t="s">
        <v>132</v>
      </c>
    </row>
    <row r="144" spans="2:5">
      <c r="B144" t="s">
        <v>153</v>
      </c>
      <c r="C144">
        <v>900</v>
      </c>
      <c r="D144">
        <v>-40</v>
      </c>
      <c r="E144" s="2" t="s">
        <v>95</v>
      </c>
    </row>
    <row r="145" spans="2:5">
      <c r="B145" t="s">
        <v>96</v>
      </c>
      <c r="C145">
        <f>D144/(1+C137)^0.25</f>
        <v>-39.705501445805581</v>
      </c>
      <c r="D145">
        <f>C145*(1+C137)^0.25</f>
        <v>-40</v>
      </c>
    </row>
    <row r="146" spans="2:5">
      <c r="B146" t="s">
        <v>96</v>
      </c>
      <c r="C146">
        <f>-(C144+C145)</f>
        <v>-860.29449855419443</v>
      </c>
      <c r="E146">
        <f>-C146*(1+D137)^0.75</f>
        <v>885.97639290428731</v>
      </c>
    </row>
    <row r="147" spans="2:5">
      <c r="B147" t="s">
        <v>99</v>
      </c>
      <c r="E147" t="s">
        <v>154</v>
      </c>
    </row>
    <row r="148" spans="2:5">
      <c r="B148" t="s">
        <v>149</v>
      </c>
      <c r="E148">
        <f>E146-870</f>
        <v>15.976392904287309</v>
      </c>
    </row>
    <row r="151" spans="2:5">
      <c r="B151" t="s">
        <v>155</v>
      </c>
    </row>
    <row r="152" spans="2:5">
      <c r="B152" t="s">
        <v>156</v>
      </c>
    </row>
    <row r="153" spans="2:5">
      <c r="B153" t="s">
        <v>157</v>
      </c>
    </row>
    <row r="154" spans="2:5">
      <c r="B154" t="s">
        <v>158</v>
      </c>
    </row>
    <row r="155" spans="2:5">
      <c r="B155" t="s">
        <v>159</v>
      </c>
    </row>
    <row r="157" spans="2:5">
      <c r="B157" t="s">
        <v>160</v>
      </c>
    </row>
    <row r="158" spans="2:5">
      <c r="B158" t="s">
        <v>162</v>
      </c>
    </row>
    <row r="159" spans="2:5">
      <c r="B159" t="s">
        <v>161</v>
      </c>
    </row>
    <row r="160" spans="2:5">
      <c r="B160" t="s">
        <v>163</v>
      </c>
    </row>
    <row r="162" spans="2:3">
      <c r="B162" t="s">
        <v>2</v>
      </c>
    </row>
    <row r="164" spans="2:3">
      <c r="B164" t="s">
        <v>164</v>
      </c>
    </row>
    <row r="165" spans="2:3">
      <c r="B165" t="s">
        <v>165</v>
      </c>
      <c r="C165">
        <v>25</v>
      </c>
    </row>
    <row r="166" spans="2:3">
      <c r="B166" t="s">
        <v>166</v>
      </c>
      <c r="C166">
        <v>24</v>
      </c>
    </row>
    <row r="167" spans="2:3">
      <c r="B167" t="s">
        <v>167</v>
      </c>
      <c r="C167" s="3">
        <v>0.1</v>
      </c>
    </row>
    <row r="168" spans="2:3">
      <c r="B168" t="s">
        <v>168</v>
      </c>
    </row>
    <row r="169" spans="2:3">
      <c r="B169" t="s">
        <v>169</v>
      </c>
      <c r="C169">
        <f>(25-24)*1/(1+C167)^0.5</f>
        <v>0.95346258924559224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5389-EACC-4AB2-938D-5559DA34B1EE}">
  <dimension ref="A2:G116"/>
  <sheetViews>
    <sheetView topLeftCell="A89" workbookViewId="0">
      <selection activeCell="E37" sqref="E37"/>
    </sheetView>
  </sheetViews>
  <sheetFormatPr defaultRowHeight="16.5"/>
  <cols>
    <col min="2" max="2" width="25" bestFit="1" customWidth="1"/>
    <col min="3" max="3" width="8.875" bestFit="1" customWidth="1"/>
    <col min="4" max="4" width="21.5" bestFit="1" customWidth="1"/>
  </cols>
  <sheetData>
    <row r="2" spans="1:7">
      <c r="B2" t="s">
        <v>175</v>
      </c>
    </row>
    <row r="4" spans="1:7">
      <c r="B4" t="s">
        <v>170</v>
      </c>
    </row>
    <row r="5" spans="1:7">
      <c r="B5" t="s">
        <v>171</v>
      </c>
    </row>
    <row r="6" spans="1:7">
      <c r="B6" t="s">
        <v>172</v>
      </c>
    </row>
    <row r="7" spans="1:7">
      <c r="B7" t="s">
        <v>173</v>
      </c>
      <c r="G7" t="s">
        <v>185</v>
      </c>
    </row>
    <row r="8" spans="1:7">
      <c r="B8" t="s">
        <v>174</v>
      </c>
      <c r="G8" t="s">
        <v>186</v>
      </c>
    </row>
    <row r="10" spans="1:7">
      <c r="A10" t="s">
        <v>137</v>
      </c>
      <c r="B10" t="s">
        <v>176</v>
      </c>
    </row>
    <row r="12" spans="1:7">
      <c r="B12" t="s">
        <v>70</v>
      </c>
    </row>
    <row r="13" spans="1:7">
      <c r="B13" t="s">
        <v>177</v>
      </c>
    </row>
    <row r="14" spans="1:7">
      <c r="B14" t="s">
        <v>178</v>
      </c>
      <c r="C14">
        <v>5050000</v>
      </c>
    </row>
    <row r="15" spans="1:7">
      <c r="B15" t="s">
        <v>179</v>
      </c>
      <c r="C15">
        <v>1.5</v>
      </c>
    </row>
    <row r="16" spans="1:7">
      <c r="B16" t="s">
        <v>180</v>
      </c>
      <c r="C16" s="3">
        <v>0.04</v>
      </c>
    </row>
    <row r="17" spans="2:3">
      <c r="B17" t="s">
        <v>181</v>
      </c>
      <c r="C17" s="3">
        <v>0.01</v>
      </c>
    </row>
    <row r="18" spans="2:3">
      <c r="B18" t="s">
        <v>182</v>
      </c>
    </row>
    <row r="19" spans="2:3">
      <c r="B19" t="s">
        <v>184</v>
      </c>
      <c r="C19" s="2" t="s">
        <v>187</v>
      </c>
    </row>
    <row r="20" spans="2:3">
      <c r="B20" t="s">
        <v>183</v>
      </c>
      <c r="C20">
        <f>C15*C14/(250*1010)</f>
        <v>30</v>
      </c>
    </row>
    <row r="22" spans="2:3">
      <c r="B22" t="s">
        <v>188</v>
      </c>
    </row>
    <row r="23" spans="2:3">
      <c r="B23" t="s">
        <v>189</v>
      </c>
    </row>
    <row r="24" spans="2:3">
      <c r="B24" t="s">
        <v>190</v>
      </c>
    </row>
    <row r="25" spans="2:3">
      <c r="B25">
        <f>C20*(1010-902)*250</f>
        <v>810000</v>
      </c>
    </row>
    <row r="26" spans="2:3">
      <c r="B26" t="s">
        <v>191</v>
      </c>
    </row>
    <row r="27" spans="2:3">
      <c r="B27" t="s">
        <v>192</v>
      </c>
      <c r="C27" s="4">
        <f>(900-1000)/1000+1%/4</f>
        <v>-9.7500000000000003E-2</v>
      </c>
    </row>
    <row r="28" spans="2:3">
      <c r="B28" t="s">
        <v>193</v>
      </c>
    </row>
    <row r="29" spans="2:3">
      <c r="B29" s="5">
        <f>C16/4+C15*(C27-C16/4)</f>
        <v>-0.15125</v>
      </c>
    </row>
    <row r="30" spans="2:3">
      <c r="B30" t="s">
        <v>194</v>
      </c>
    </row>
    <row r="31" spans="2:3">
      <c r="B31">
        <f>C14*(1+B29)</f>
        <v>4286187.5</v>
      </c>
    </row>
    <row r="32" spans="2:3">
      <c r="B32" t="s">
        <v>195</v>
      </c>
    </row>
    <row r="33" spans="2:5">
      <c r="B33">
        <f>B31+B25</f>
        <v>5096187.5</v>
      </c>
    </row>
    <row r="34" spans="2:5">
      <c r="B34" s="5">
        <f>(B33-C14)/C14</f>
        <v>9.1460396039603955E-3</v>
      </c>
    </row>
    <row r="36" spans="2:5">
      <c r="B36" t="s">
        <v>196</v>
      </c>
    </row>
    <row r="37" spans="2:5">
      <c r="B37" t="s">
        <v>197</v>
      </c>
      <c r="C37">
        <v>1100</v>
      </c>
      <c r="D37" t="s">
        <v>198</v>
      </c>
      <c r="E37">
        <v>1103</v>
      </c>
    </row>
    <row r="38" spans="2:5">
      <c r="B38" t="s">
        <v>190</v>
      </c>
    </row>
    <row r="39" spans="2:5">
      <c r="B39">
        <f>C20*(1010-E37)*250</f>
        <v>-697500</v>
      </c>
    </row>
    <row r="40" spans="2:5">
      <c r="B40" t="s">
        <v>191</v>
      </c>
    </row>
    <row r="41" spans="2:5">
      <c r="B41" t="s">
        <v>192</v>
      </c>
      <c r="C41" s="4">
        <f>(1100-1000)/1000+C17/4</f>
        <v>0.10250000000000001</v>
      </c>
    </row>
    <row r="42" spans="2:5">
      <c r="B42" t="s">
        <v>193</v>
      </c>
    </row>
    <row r="43" spans="2:5">
      <c r="B43" s="5">
        <f>C16/4+C15*(C41-C16/4)</f>
        <v>0.14875000000000002</v>
      </c>
    </row>
    <row r="44" spans="2:5">
      <c r="B44" t="s">
        <v>194</v>
      </c>
    </row>
    <row r="45" spans="2:5">
      <c r="B45">
        <f>C14*(1+B43)</f>
        <v>5801187.5</v>
      </c>
    </row>
    <row r="46" spans="2:5">
      <c r="B46" t="s">
        <v>195</v>
      </c>
    </row>
    <row r="47" spans="2:5">
      <c r="B47">
        <f>B45+B39</f>
        <v>5103687.5</v>
      </c>
    </row>
    <row r="48" spans="2:5">
      <c r="B48" s="6">
        <f>(B47-C14)/C14</f>
        <v>1.0631188118811882E-2</v>
      </c>
    </row>
    <row r="51" spans="2:2">
      <c r="B51" t="s">
        <v>199</v>
      </c>
    </row>
    <row r="52" spans="2:2">
      <c r="B52" t="s">
        <v>200</v>
      </c>
    </row>
    <row r="53" spans="2:2">
      <c r="B53" t="s">
        <v>203</v>
      </c>
    </row>
    <row r="54" spans="2:2">
      <c r="B54" t="s">
        <v>202</v>
      </c>
    </row>
    <row r="56" spans="2:2">
      <c r="B56" t="s">
        <v>201</v>
      </c>
    </row>
    <row r="58" spans="2:2">
      <c r="B58" t="s">
        <v>204</v>
      </c>
    </row>
    <row r="59" spans="2:2">
      <c r="B59" t="s">
        <v>205</v>
      </c>
    </row>
    <row r="60" spans="2:2">
      <c r="B60" t="s">
        <v>208</v>
      </c>
    </row>
    <row r="61" spans="2:2">
      <c r="B61" t="s">
        <v>206</v>
      </c>
    </row>
    <row r="63" spans="2:2">
      <c r="B63" t="s">
        <v>207</v>
      </c>
    </row>
    <row r="64" spans="2:2">
      <c r="B64" t="s">
        <v>209</v>
      </c>
    </row>
    <row r="65" spans="2:4">
      <c r="B65" t="s">
        <v>210</v>
      </c>
    </row>
    <row r="66" spans="2:4">
      <c r="B66" t="s">
        <v>211</v>
      </c>
    </row>
    <row r="68" spans="2:4">
      <c r="B68">
        <f>(30-20)/30*1.5</f>
        <v>0.5</v>
      </c>
    </row>
    <row r="69" spans="2:4">
      <c r="B69">
        <f>(30+10)/30*1.5</f>
        <v>2</v>
      </c>
    </row>
    <row r="71" spans="2:4">
      <c r="B71" t="s">
        <v>212</v>
      </c>
    </row>
    <row r="73" spans="2:4">
      <c r="B73" t="s">
        <v>213</v>
      </c>
    </row>
    <row r="74" spans="2:4">
      <c r="B74" t="s">
        <v>214</v>
      </c>
      <c r="D74" t="s">
        <v>215</v>
      </c>
    </row>
    <row r="75" spans="2:4">
      <c r="B75" t="s">
        <v>151</v>
      </c>
      <c r="C75">
        <f>285.06*(1+2%-0%)^(62/252)</f>
        <v>286.45222244297537</v>
      </c>
    </row>
    <row r="77" spans="2:4">
      <c r="B77" t="s">
        <v>216</v>
      </c>
    </row>
    <row r="78" spans="2:4">
      <c r="B78" t="s">
        <v>217</v>
      </c>
    </row>
    <row r="80" spans="2:4">
      <c r="B80" t="s">
        <v>218</v>
      </c>
    </row>
    <row r="82" spans="2:4">
      <c r="B82" s="7" t="s">
        <v>40</v>
      </c>
      <c r="C82" s="7" t="s">
        <v>45</v>
      </c>
      <c r="D82" s="7" t="s">
        <v>92</v>
      </c>
    </row>
    <row r="83" spans="2:4">
      <c r="B83" s="7" t="s">
        <v>118</v>
      </c>
      <c r="C83" s="7">
        <v>285.06</v>
      </c>
      <c r="D83" s="8" t="s">
        <v>95</v>
      </c>
    </row>
    <row r="84" spans="2:4">
      <c r="B84" s="7" t="s">
        <v>96</v>
      </c>
      <c r="C84" s="7">
        <f>-C83</f>
        <v>-285.06</v>
      </c>
      <c r="D84" s="7">
        <f>C83*(1+2%)^(62/252)</f>
        <v>286.45222244297537</v>
      </c>
    </row>
    <row r="85" spans="2:4">
      <c r="B85" s="7" t="s">
        <v>219</v>
      </c>
      <c r="C85" s="7"/>
      <c r="D85" s="7" t="s">
        <v>220</v>
      </c>
    </row>
    <row r="86" spans="2:4">
      <c r="B86" s="7" t="s">
        <v>53</v>
      </c>
      <c r="C86" s="7">
        <f>SUM(C83:C85)</f>
        <v>0</v>
      </c>
      <c r="D86" s="7">
        <f>D84-284.55</f>
        <v>1.9022224429753578</v>
      </c>
    </row>
    <row r="89" spans="2:4">
      <c r="B89" t="s">
        <v>213</v>
      </c>
    </row>
    <row r="90" spans="2:4">
      <c r="B90" t="s">
        <v>221</v>
      </c>
    </row>
    <row r="91" spans="2:4">
      <c r="B91">
        <f>285.06*(1+2%-0%)^(62/252)</f>
        <v>286.45222244297537</v>
      </c>
    </row>
    <row r="92" spans="2:4">
      <c r="B92" t="s">
        <v>222</v>
      </c>
    </row>
    <row r="93" spans="2:4">
      <c r="B93" t="s">
        <v>223</v>
      </c>
    </row>
    <row r="95" spans="2:4">
      <c r="B95" t="s">
        <v>224</v>
      </c>
    </row>
    <row r="96" spans="2:4">
      <c r="B96" t="s">
        <v>225</v>
      </c>
      <c r="C96">
        <v>289.5</v>
      </c>
    </row>
    <row r="98" spans="2:4">
      <c r="B98" t="s">
        <v>40</v>
      </c>
      <c r="C98" t="s">
        <v>45</v>
      </c>
      <c r="D98" t="s">
        <v>92</v>
      </c>
    </row>
    <row r="99" spans="2:4">
      <c r="B99" t="s">
        <v>226</v>
      </c>
      <c r="C99">
        <v>-285.06</v>
      </c>
      <c r="D99" t="s">
        <v>114</v>
      </c>
    </row>
    <row r="100" spans="2:4">
      <c r="B100" t="s">
        <v>112</v>
      </c>
      <c r="C100">
        <f>-C99</f>
        <v>285.06</v>
      </c>
      <c r="D100">
        <f>C99*(1+2%)^(62/252)</f>
        <v>-286.45222244297537</v>
      </c>
    </row>
    <row r="101" spans="2:4">
      <c r="B101" t="s">
        <v>113</v>
      </c>
      <c r="D101" t="s">
        <v>227</v>
      </c>
    </row>
    <row r="102" spans="2:4">
      <c r="B102" t="s">
        <v>53</v>
      </c>
      <c r="D102">
        <f>C96+D100</f>
        <v>3.0477775570246308</v>
      </c>
    </row>
    <row r="105" spans="2:4">
      <c r="B105" t="s">
        <v>228</v>
      </c>
    </row>
    <row r="106" spans="2:4">
      <c r="B106" t="s">
        <v>229</v>
      </c>
    </row>
    <row r="108" spans="2:4">
      <c r="B108" t="s">
        <v>230</v>
      </c>
    </row>
    <row r="109" spans="2:4">
      <c r="B109" t="s">
        <v>231</v>
      </c>
    </row>
    <row r="110" spans="2:4">
      <c r="B110" t="s">
        <v>232</v>
      </c>
    </row>
    <row r="111" spans="2:4">
      <c r="B111" t="s">
        <v>233</v>
      </c>
    </row>
    <row r="113" spans="2:5">
      <c r="B113" t="s">
        <v>234</v>
      </c>
    </row>
    <row r="114" spans="2:5">
      <c r="B114" t="s">
        <v>235</v>
      </c>
    </row>
    <row r="115" spans="2:5">
      <c r="B115" t="s">
        <v>236</v>
      </c>
      <c r="E115" t="s">
        <v>237</v>
      </c>
    </row>
    <row r="116" spans="2:5">
      <c r="B116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3주차 1차시</vt:lpstr>
      <vt:lpstr>3주차 2차시</vt:lpstr>
      <vt:lpstr>3주차 3차시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재환 김</dc:creator>
  <cp:lastModifiedBy>재환 김</cp:lastModifiedBy>
  <dcterms:created xsi:type="dcterms:W3CDTF">2024-03-23T16:20:06Z</dcterms:created>
  <dcterms:modified xsi:type="dcterms:W3CDTF">2024-03-26T21:26:20Z</dcterms:modified>
</cp:coreProperties>
</file>