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e1c7ab116142a6/문서/"/>
    </mc:Choice>
  </mc:AlternateContent>
  <xr:revisionPtr revIDLastSave="897" documentId="8_{7A266D19-C0F8-4851-9E48-47D48DBE8968}" xr6:coauthVersionLast="47" xr6:coauthVersionMax="47" xr10:uidLastSave="{0639F814-D2D2-4813-B55C-86303EF8DAC8}"/>
  <bookViews>
    <workbookView xWindow="0" yWindow="120" windowWidth="14400" windowHeight="15600" activeTab="2" xr2:uid="{247C242B-5C81-402F-9E67-AB718E094B71}"/>
  </bookViews>
  <sheets>
    <sheet name="4주차 1차시" sheetId="3" r:id="rId1"/>
    <sheet name="4주차 2차시" sheetId="2" r:id="rId2"/>
    <sheet name="4주차 3차시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0" i="1" l="1"/>
  <c r="C154" i="1"/>
  <c r="C143" i="1"/>
  <c r="E135" i="1"/>
  <c r="E134" i="1"/>
  <c r="E133" i="1"/>
  <c r="E132" i="1"/>
  <c r="D136" i="1"/>
  <c r="D128" i="1"/>
  <c r="D127" i="1"/>
  <c r="F117" i="1"/>
  <c r="F118" i="1"/>
  <c r="F124" i="1"/>
  <c r="F123" i="1"/>
  <c r="G124" i="1"/>
  <c r="G123" i="1"/>
  <c r="C113" i="1"/>
  <c r="C107" i="1"/>
  <c r="E136" i="1" l="1"/>
  <c r="F134" i="1" s="1"/>
  <c r="D126" i="1"/>
  <c r="C92" i="1"/>
  <c r="D96" i="1"/>
  <c r="D97" i="1"/>
  <c r="C98" i="1"/>
  <c r="D98" i="1" s="1"/>
  <c r="E98" i="1" s="1"/>
  <c r="C97" i="1"/>
  <c r="E97" i="1" s="1"/>
  <c r="C76" i="1"/>
  <c r="C79" i="1" s="1"/>
  <c r="C62" i="1"/>
  <c r="C63" i="1" s="1"/>
  <c r="C66" i="1" s="1"/>
  <c r="C50" i="1"/>
  <c r="C49" i="1"/>
  <c r="H49" i="1"/>
  <c r="H50" i="1"/>
  <c r="C28" i="1"/>
  <c r="C27" i="1"/>
  <c r="H27" i="1"/>
  <c r="H28" i="1"/>
  <c r="C23" i="1"/>
  <c r="C22" i="1"/>
  <c r="G44" i="1"/>
  <c r="C44" i="1" s="1"/>
  <c r="G43" i="1"/>
  <c r="C43" i="1" s="1"/>
  <c r="H23" i="1"/>
  <c r="H22" i="1"/>
  <c r="D16" i="1"/>
  <c r="D17" i="1" s="1"/>
  <c r="F4" i="1"/>
  <c r="C36" i="2"/>
  <c r="D35" i="2"/>
  <c r="D36" i="2" s="1"/>
  <c r="D27" i="2"/>
  <c r="D28" i="2" s="1"/>
  <c r="C28" i="2"/>
  <c r="C20" i="2"/>
  <c r="E84" i="3"/>
  <c r="E83" i="3"/>
  <c r="E82" i="3"/>
  <c r="C76" i="3"/>
  <c r="D76" i="3"/>
  <c r="E76" i="3"/>
  <c r="E74" i="3"/>
  <c r="E75" i="3"/>
  <c r="D64" i="3"/>
  <c r="C67" i="3"/>
  <c r="G34" i="3"/>
  <c r="G32" i="3"/>
  <c r="D33" i="3"/>
  <c r="C33" i="3"/>
  <c r="D28" i="3"/>
  <c r="C20" i="3"/>
  <c r="C13" i="3"/>
  <c r="F135" i="1" l="1"/>
  <c r="F133" i="1"/>
  <c r="F132" i="1"/>
  <c r="C141" i="1" s="1"/>
  <c r="C144" i="1" s="1"/>
  <c r="D99" i="1"/>
  <c r="C24" i="1"/>
  <c r="C29" i="1"/>
  <c r="C51" i="1"/>
  <c r="C45" i="1"/>
</calcChain>
</file>

<file path=xl/sharedStrings.xml><?xml version="1.0" encoding="utf-8"?>
<sst xmlns="http://schemas.openxmlformats.org/spreadsheetml/2006/main" count="397" uniqueCount="301">
  <si>
    <t>통화선물(Futures on Currencies)</t>
    <phoneticPr fontId="1" type="noConversion"/>
  </si>
  <si>
    <t xml:space="preserve">이론가격 </t>
    <phoneticPr fontId="1" type="noConversion"/>
  </si>
  <si>
    <t xml:space="preserve">F0 = </t>
    <phoneticPr fontId="1" type="noConversion"/>
  </si>
  <si>
    <t>F0 = S0(1+r-rf)^T</t>
    <phoneticPr fontId="1" type="noConversion"/>
  </si>
  <si>
    <t>F0 = S0*e^(r-rf)*T</t>
    <phoneticPr fontId="1" type="noConversion"/>
  </si>
  <si>
    <t>예제</t>
    <phoneticPr fontId="1" type="noConversion"/>
  </si>
  <si>
    <t>현재 USD/KRW환율</t>
    <phoneticPr fontId="1" type="noConversion"/>
  </si>
  <si>
    <t>3개월만기 원화 이자율</t>
    <phoneticPr fontId="1" type="noConversion"/>
  </si>
  <si>
    <t>3개월 만기 달러이자율</t>
    <phoneticPr fontId="1" type="noConversion"/>
  </si>
  <si>
    <t>3개월 만기 USD/KRW 통화선물의 이론가격</t>
    <phoneticPr fontId="1" type="noConversion"/>
  </si>
  <si>
    <t>2020년 8월 7일 현재</t>
    <phoneticPr fontId="1" type="noConversion"/>
  </si>
  <si>
    <t xml:space="preserve">한국국채금리 3년 물 </t>
    <phoneticPr fontId="1" type="noConversion"/>
  </si>
  <si>
    <t>미국국채금리3년 물</t>
    <phoneticPr fontId="1" type="noConversion"/>
  </si>
  <si>
    <t>F0=</t>
    <phoneticPr fontId="1" type="noConversion"/>
  </si>
  <si>
    <t>F0 =</t>
    <phoneticPr fontId="1" type="noConversion"/>
  </si>
  <si>
    <t>통화선물(달러선물)</t>
    <phoneticPr fontId="1" type="noConversion"/>
  </si>
  <si>
    <t>잔존일수</t>
    <phoneticPr fontId="1" type="noConversion"/>
  </si>
  <si>
    <t>차익거래의 활용</t>
    <phoneticPr fontId="1" type="noConversion"/>
  </si>
  <si>
    <t>거래</t>
    <phoneticPr fontId="1" type="noConversion"/>
  </si>
  <si>
    <t>현재</t>
    <phoneticPr fontId="1" type="noConversion"/>
  </si>
  <si>
    <t>19일후</t>
    <phoneticPr fontId="1" type="noConversion"/>
  </si>
  <si>
    <t>선물 매도</t>
    <phoneticPr fontId="1" type="noConversion"/>
  </si>
  <si>
    <t>현물 매수</t>
    <phoneticPr fontId="1" type="noConversion"/>
  </si>
  <si>
    <t>대출</t>
    <phoneticPr fontId="1" type="noConversion"/>
  </si>
  <si>
    <t>현재 달러환율</t>
    <phoneticPr fontId="1" type="noConversion"/>
  </si>
  <si>
    <t>달러선물가격</t>
    <phoneticPr fontId="1" type="noConversion"/>
  </si>
  <si>
    <t>잔존만기</t>
    <phoneticPr fontId="1" type="noConversion"/>
  </si>
  <si>
    <t>미국달러금리</t>
    <phoneticPr fontId="1" type="noConversion"/>
  </si>
  <si>
    <t>원화금리</t>
    <phoneticPr fontId="1" type="noConversion"/>
  </si>
  <si>
    <t>이론가격</t>
    <phoneticPr fontId="1" type="noConversion"/>
  </si>
  <si>
    <t>(1204-ST)*1000000</t>
    <phoneticPr fontId="1" type="noConversion"/>
  </si>
  <si>
    <t>1000000*(1+1.4%)^(19/365)*ST</t>
    <phoneticPr fontId="1" type="noConversion"/>
  </si>
  <si>
    <t>총합</t>
    <phoneticPr fontId="1" type="noConversion"/>
  </si>
  <si>
    <t>1008082 + 724*ST</t>
    <phoneticPr fontId="1" type="noConversion"/>
  </si>
  <si>
    <t>채권선물(Bond Futures)</t>
    <phoneticPr fontId="1" type="noConversion"/>
  </si>
  <si>
    <t xml:space="preserve">정의 </t>
    <phoneticPr fontId="1" type="noConversion"/>
  </si>
  <si>
    <t>특정 채권을 미래 특정 시점에 사전에 결정된 가격에 사거나 팔도록 하는 계약</t>
    <phoneticPr fontId="1" type="noConversion"/>
  </si>
  <si>
    <t>미국 국채 선물</t>
    <phoneticPr fontId="1" type="noConversion"/>
  </si>
  <si>
    <t>30Y T-Bond 선물</t>
    <phoneticPr fontId="1" type="noConversion"/>
  </si>
  <si>
    <t>10Y T-Note 선물</t>
    <phoneticPr fontId="1" type="noConversion"/>
  </si>
  <si>
    <t>한국국채 선물</t>
    <phoneticPr fontId="1" type="noConversion"/>
  </si>
  <si>
    <t>3Y KTB 선물</t>
    <phoneticPr fontId="1" type="noConversion"/>
  </si>
  <si>
    <t>5Y KTB 선물</t>
    <phoneticPr fontId="1" type="noConversion"/>
  </si>
  <si>
    <t>10Y KTB 선물</t>
    <phoneticPr fontId="1" type="noConversion"/>
  </si>
  <si>
    <t>채권선물의 가격결정</t>
    <phoneticPr fontId="1" type="noConversion"/>
  </si>
  <si>
    <t>채권(만기 11년 이상)의 경우 일반적으로 중도에 이자(이표; coupon)를 지급</t>
    <phoneticPr fontId="1" type="noConversion"/>
  </si>
  <si>
    <t>주가지수선물/통화선물과는 가격 결정 방법이 다름</t>
    <phoneticPr fontId="1" type="noConversion"/>
  </si>
  <si>
    <t>중간에 일정액의 배당을 지급하는 주식선물과 유사함</t>
    <phoneticPr fontId="1" type="noConversion"/>
  </si>
  <si>
    <t>채권선물(선도)의 가격 결정</t>
    <phoneticPr fontId="1" type="noConversion"/>
  </si>
  <si>
    <t>F0=(S0 - PV(I))*(1+r)^T</t>
    <phoneticPr fontId="1" type="noConversion"/>
  </si>
  <si>
    <t xml:space="preserve">예제 </t>
    <phoneticPr fontId="1" type="noConversion"/>
  </si>
  <si>
    <t>4개월 후 US $40의 이자를 지급할 예정</t>
    <phoneticPr fontId="1" type="noConversion"/>
  </si>
  <si>
    <t>현재 채권의 가격(US $)</t>
    <phoneticPr fontId="1" type="noConversion"/>
  </si>
  <si>
    <t>4개월 만기 무위험 이자율(연)</t>
    <phoneticPr fontId="1" type="noConversion"/>
  </si>
  <si>
    <t>9개월 만기 무위험 이자율(연)</t>
    <phoneticPr fontId="1" type="noConversion"/>
  </si>
  <si>
    <t>현재부터 4개월 후 5개월 동안의 금리는?</t>
    <phoneticPr fontId="1" type="noConversion"/>
  </si>
  <si>
    <t>만기 9개월 남은 채권선물(선도)의 가격은?</t>
    <phoneticPr fontId="1" type="noConversion"/>
  </si>
  <si>
    <t xml:space="preserve">선도금리 = </t>
    <phoneticPr fontId="1" type="noConversion"/>
  </si>
  <si>
    <t xml:space="preserve"> -&gt; (1+3%)^4/12 * (1+f)^5/12 = (1+4%)^9/12</t>
    <phoneticPr fontId="1" type="noConversion"/>
  </si>
  <si>
    <t>f 값을 구하면 됨</t>
    <phoneticPr fontId="1" type="noConversion"/>
  </si>
  <si>
    <t>(case1) 선도가격이 US $910인 경우</t>
    <phoneticPr fontId="1" type="noConversion"/>
  </si>
  <si>
    <t>4개월 후</t>
    <phoneticPr fontId="1" type="noConversion"/>
  </si>
  <si>
    <t>9개월 후</t>
    <phoneticPr fontId="1" type="noConversion"/>
  </si>
  <si>
    <t>채권 매수</t>
    <phoneticPr fontId="1" type="noConversion"/>
  </si>
  <si>
    <t>예금</t>
    <phoneticPr fontId="1" type="noConversion"/>
  </si>
  <si>
    <t>910 - BT</t>
    <phoneticPr fontId="1" type="noConversion"/>
  </si>
  <si>
    <t>BT</t>
    <phoneticPr fontId="1" type="noConversion"/>
  </si>
  <si>
    <t>(case2) 선도가격이 US $870인 경우</t>
    <phoneticPr fontId="1" type="noConversion"/>
  </si>
  <si>
    <t>선물 매수</t>
    <phoneticPr fontId="1" type="noConversion"/>
  </si>
  <si>
    <t>채권 공매도</t>
    <phoneticPr fontId="1" type="noConversion"/>
  </si>
  <si>
    <t>-BT</t>
    <phoneticPr fontId="1" type="noConversion"/>
  </si>
  <si>
    <t>BT-870</t>
    <phoneticPr fontId="1" type="noConversion"/>
  </si>
  <si>
    <t>Futures on commodities</t>
    <phoneticPr fontId="1" type="noConversion"/>
  </si>
  <si>
    <t>투자자산의 경우</t>
    <phoneticPr fontId="1" type="noConversion"/>
  </si>
  <si>
    <t xml:space="preserve">F0 = (S0 + U)*(1+r)^T </t>
    <phoneticPr fontId="1" type="noConversion"/>
  </si>
  <si>
    <t>F0 = S0(1+r+u)^T</t>
    <phoneticPr fontId="1" type="noConversion"/>
  </si>
  <si>
    <t>소비자산의 경우</t>
    <phoneticPr fontId="1" type="noConversion"/>
  </si>
  <si>
    <t xml:space="preserve">F0 &lt;= (S0 + U)*(1+r)^T </t>
    <phoneticPr fontId="1" type="noConversion"/>
  </si>
  <si>
    <t>F0 &lt;= S0(1+r+u)^T</t>
    <phoneticPr fontId="1" type="noConversion"/>
  </si>
  <si>
    <t>소비자산의 경우에는 매도차익거래를 통한 이익창출이 불가능</t>
    <phoneticPr fontId="1" type="noConversion"/>
  </si>
  <si>
    <t xml:space="preserve">S0 = </t>
    <phoneticPr fontId="1" type="noConversion"/>
  </si>
  <si>
    <t>현물</t>
    <phoneticPr fontId="1" type="noConversion"/>
  </si>
  <si>
    <t>r</t>
    <phoneticPr fontId="1" type="noConversion"/>
  </si>
  <si>
    <t>무위험이자율</t>
    <phoneticPr fontId="1" type="noConversion"/>
  </si>
  <si>
    <t>금현물 가격(온스당)</t>
    <phoneticPr fontId="1" type="noConversion"/>
  </si>
  <si>
    <t>1년만기 무위험 이자율</t>
    <phoneticPr fontId="1" type="noConversion"/>
  </si>
  <si>
    <t>금 보관 비용(온스당)</t>
    <phoneticPr fontId="1" type="noConversion"/>
  </si>
  <si>
    <t>만기가 1년인 금선물의 이론가격은?</t>
    <phoneticPr fontId="1" type="noConversion"/>
  </si>
  <si>
    <t>1년후</t>
    <phoneticPr fontId="1" type="noConversion"/>
  </si>
  <si>
    <t>금 선물 매도</t>
    <phoneticPr fontId="1" type="noConversion"/>
  </si>
  <si>
    <t>금 선물의 가격이 각각 900인 경우 차익거래전략은?</t>
    <phoneticPr fontId="1" type="noConversion"/>
  </si>
  <si>
    <t>900-G1</t>
    <phoneticPr fontId="1" type="noConversion"/>
  </si>
  <si>
    <t>금 현물 매입</t>
    <phoneticPr fontId="1" type="noConversion"/>
  </si>
  <si>
    <t>G1</t>
    <phoneticPr fontId="1" type="noConversion"/>
  </si>
  <si>
    <t>차입</t>
    <phoneticPr fontId="1" type="noConversion"/>
  </si>
  <si>
    <t>합계</t>
    <phoneticPr fontId="1" type="noConversion"/>
  </si>
  <si>
    <t>금 선물의 가격이 각각 780인 경우 차익거래전략은?</t>
    <phoneticPr fontId="1" type="noConversion"/>
  </si>
  <si>
    <t>금 선물 매입</t>
    <phoneticPr fontId="1" type="noConversion"/>
  </si>
  <si>
    <t>금 현물 공매도</t>
    <phoneticPr fontId="1" type="noConversion"/>
  </si>
  <si>
    <t>GT</t>
    <phoneticPr fontId="1" type="noConversion"/>
  </si>
  <si>
    <t>GT-780</t>
    <phoneticPr fontId="1" type="noConversion"/>
  </si>
  <si>
    <t>Pricing methods</t>
    <phoneticPr fontId="1" type="noConversion"/>
  </si>
  <si>
    <t>보유비용(Cost of Carry)</t>
    <phoneticPr fontId="1" type="noConversion"/>
  </si>
  <si>
    <t>현물을 보유함으로 해서 발생하는 제반 비용</t>
    <phoneticPr fontId="1" type="noConversion"/>
  </si>
  <si>
    <t>보관비용(u), 자본조달비용(이자비용, r), 자산으로부터 얻는 소득(q)</t>
    <phoneticPr fontId="1" type="noConversion"/>
  </si>
  <si>
    <t>c=r-q+u</t>
    <phoneticPr fontId="1" type="noConversion"/>
  </si>
  <si>
    <t>보유편익률(convenience yield)</t>
    <phoneticPr fontId="1" type="noConversion"/>
  </si>
  <si>
    <t>실물자산을 보유함으로써 얻는 편익(y)</t>
    <phoneticPr fontId="1" type="noConversion"/>
  </si>
  <si>
    <t>투자자산 :</t>
    <phoneticPr fontId="1" type="noConversion"/>
  </si>
  <si>
    <t>선도 / 선물의 가격</t>
    <phoneticPr fontId="1" type="noConversion"/>
  </si>
  <si>
    <t>소비자산 :</t>
    <phoneticPr fontId="1" type="noConversion"/>
  </si>
  <si>
    <t>S0(1+c)^T</t>
    <phoneticPr fontId="1" type="noConversion"/>
  </si>
  <si>
    <t>S0(1+c-y)^T</t>
    <phoneticPr fontId="1" type="noConversion"/>
  </si>
  <si>
    <t>주가지수</t>
    <phoneticPr fontId="1" type="noConversion"/>
  </si>
  <si>
    <t xml:space="preserve">c = </t>
    <phoneticPr fontId="1" type="noConversion"/>
  </si>
  <si>
    <t>r - q(배당금)</t>
    <phoneticPr fontId="1" type="noConversion"/>
  </si>
  <si>
    <t>통화</t>
    <phoneticPr fontId="1" type="noConversion"/>
  </si>
  <si>
    <t>r - rf(해당 통화의 국가의 국공채 금리)</t>
    <phoneticPr fontId="1" type="noConversion"/>
  </si>
  <si>
    <t>금</t>
    <phoneticPr fontId="1" type="noConversion"/>
  </si>
  <si>
    <t>r + u(보관비용)</t>
    <phoneticPr fontId="1" type="noConversion"/>
  </si>
  <si>
    <t>소비자산을 보유할 때 얻게 되는 정확하게 계량화 되기 힘든 편익을 의미함</t>
    <phoneticPr fontId="1" type="noConversion"/>
  </si>
  <si>
    <t>왜냐면 소비자산의 경우 F0 &lt;= S0(1+c)^T 이기 때문에 y(보유편익율)을 가정한다.</t>
    <phoneticPr fontId="1" type="noConversion"/>
  </si>
  <si>
    <t>economic meaning of futures prices</t>
    <phoneticPr fontId="1" type="noConversion"/>
  </si>
  <si>
    <t>선도 / 선물가격 vs 기대현물가격</t>
    <phoneticPr fontId="1" type="noConversion"/>
  </si>
  <si>
    <t>Forward / Futures prices vs Expected Spot Price</t>
    <phoneticPr fontId="1" type="noConversion"/>
  </si>
  <si>
    <t>선도 / 선물가격은 기대 현물가격과 동일하다?</t>
    <phoneticPr fontId="1" type="noConversion"/>
  </si>
  <si>
    <t>3개월 만기 KOSPI200 지수선물의 현재 가격이 210</t>
    <phoneticPr fontId="1" type="noConversion"/>
  </si>
  <si>
    <t>현재 KOSPI 200 지수는 200</t>
    <phoneticPr fontId="1" type="noConversion"/>
  </si>
  <si>
    <t>3개월 후 KOSPI 200 지수의 기대값은?</t>
    <phoneticPr fontId="1" type="noConversion"/>
  </si>
  <si>
    <t>Keynes vs. Hicks</t>
    <phoneticPr fontId="1" type="noConversion"/>
  </si>
  <si>
    <t>'if the hedgers tend to hold short(long) positions and speculators tend to hold long(short) positions, then the futures price of an asset will be below(above) the expected spot price'</t>
    <phoneticPr fontId="1" type="noConversion"/>
  </si>
  <si>
    <t xml:space="preserve">Speculator : </t>
    <phoneticPr fontId="1" type="noConversion"/>
  </si>
  <si>
    <t>위험감수의 대가를 요구함</t>
    <phoneticPr fontId="1" type="noConversion"/>
  </si>
  <si>
    <t>hedger</t>
    <phoneticPr fontId="1" type="noConversion"/>
  </si>
  <si>
    <t>선물로 위험을 줄일 수 있기에 이를 받아 들임</t>
    <phoneticPr fontId="1" type="noConversion"/>
  </si>
  <si>
    <t>현재가격</t>
    <phoneticPr fontId="1" type="noConversion"/>
  </si>
  <si>
    <t>F0</t>
    <phoneticPr fontId="1" type="noConversion"/>
  </si>
  <si>
    <t>만기</t>
    <phoneticPr fontId="1" type="noConversion"/>
  </si>
  <si>
    <t>T</t>
    <phoneticPr fontId="1" type="noConversion"/>
  </si>
  <si>
    <t>선물(선도)계약 매입</t>
    <phoneticPr fontId="1" type="noConversion"/>
  </si>
  <si>
    <t>만기시점에 이행하기 위해서 필요한 자금 F0를 마련하기 위하여, F0/(1+R)^T 만큼을 무위험 자산에 투자</t>
    <phoneticPr fontId="1" type="noConversion"/>
  </si>
  <si>
    <t xml:space="preserve">투자자의 현금흐름은 </t>
    <phoneticPr fontId="1" type="noConversion"/>
  </si>
  <si>
    <t>현재시점</t>
    <phoneticPr fontId="1" type="noConversion"/>
  </si>
  <si>
    <t>-F0/(1+r)^T</t>
    <phoneticPr fontId="1" type="noConversion"/>
  </si>
  <si>
    <t xml:space="preserve">만기시점 </t>
    <phoneticPr fontId="1" type="noConversion"/>
  </si>
  <si>
    <t>E(ST) - F0</t>
    <phoneticPr fontId="1" type="noConversion"/>
  </si>
  <si>
    <t>위 투자의 현재가치</t>
    <phoneticPr fontId="1" type="noConversion"/>
  </si>
  <si>
    <t>= -F0 / (1+r)^T  +  E(ST) / (1+k)^T</t>
    <phoneticPr fontId="1" type="noConversion"/>
  </si>
  <si>
    <t>k는 그 자산의 위험을 고려한 할인율</t>
    <phoneticPr fontId="1" type="noConversion"/>
  </si>
  <si>
    <t xml:space="preserve">만약 증권시장은 효율적이어서, 위 투자의 현재가치(NPV) = 0이라면, </t>
    <phoneticPr fontId="1" type="noConversion"/>
  </si>
  <si>
    <t>F0 = E(ST)*(1+r-k)^T</t>
    <phoneticPr fontId="1" type="noConversion"/>
  </si>
  <si>
    <r>
      <t>k = r +</t>
    </r>
    <r>
      <rPr>
        <sz val="11"/>
        <color theme="1"/>
        <rFont val="Calibri"/>
        <family val="2"/>
        <charset val="161"/>
      </rPr>
      <t>β</t>
    </r>
    <r>
      <rPr>
        <sz val="11"/>
        <color theme="1"/>
        <rFont val="맑은 고딕"/>
        <family val="2"/>
        <charset val="129"/>
        <scheme val="minor"/>
      </rPr>
      <t xml:space="preserve">[E[rM) - r] </t>
    </r>
    <phoneticPr fontId="1" type="noConversion"/>
  </si>
  <si>
    <t>k = r :</t>
    <phoneticPr fontId="1" type="noConversion"/>
  </si>
  <si>
    <t>F0 = E(ST)</t>
    <phoneticPr fontId="1" type="noConversion"/>
  </si>
  <si>
    <t>1. 선도 / 선물의 기초자산이 체계적 위험(systematic risk)를 가지고 있지 않으면</t>
    <phoneticPr fontId="1" type="noConversion"/>
  </si>
  <si>
    <t xml:space="preserve">2. 선도 / 선물의 기초자산이 양(+)의 체계적 위험을 가지고 있으면 </t>
    <phoneticPr fontId="1" type="noConversion"/>
  </si>
  <si>
    <t xml:space="preserve">k &gt; r : </t>
    <phoneticPr fontId="1" type="noConversion"/>
  </si>
  <si>
    <t>F0 &lt; E(ST)</t>
    <phoneticPr fontId="1" type="noConversion"/>
  </si>
  <si>
    <t>3. 선도 / 선물의 기초자산이 음(-)의 체계적 위험을 가지고 있으면</t>
    <phoneticPr fontId="1" type="noConversion"/>
  </si>
  <si>
    <t xml:space="preserve"> </t>
    <phoneticPr fontId="1" type="noConversion"/>
  </si>
  <si>
    <t>k &lt; r :</t>
    <phoneticPr fontId="1" type="noConversion"/>
  </si>
  <si>
    <t>F0 &gt; E(ST)</t>
    <phoneticPr fontId="1" type="noConversion"/>
  </si>
  <si>
    <t>개시증거금이 계약금액의 5%인 선물계약의 경우 레버리지는 얼마인가?</t>
    <phoneticPr fontId="1" type="noConversion"/>
  </si>
  <si>
    <t xml:space="preserve">레버리지 = </t>
    <phoneticPr fontId="1" type="noConversion"/>
  </si>
  <si>
    <t>투자금액 / 자기자본</t>
    <phoneticPr fontId="1" type="noConversion"/>
  </si>
  <si>
    <t>= 100% / 5%</t>
    <phoneticPr fontId="1" type="noConversion"/>
  </si>
  <si>
    <t>leverage effect</t>
    <phoneticPr fontId="1" type="noConversion"/>
  </si>
  <si>
    <t>leverage 가 증가 함에 따라 ROE와 EPS 변동성이 커진다</t>
    <phoneticPr fontId="1" type="noConversion"/>
  </si>
  <si>
    <t>확실히 상승이 예상되면 선물(선도)계약으로 이익을 크게 발생시킬 수 있다.</t>
    <phoneticPr fontId="1" type="noConversion"/>
  </si>
  <si>
    <t>전일 미결제약정수량</t>
    <phoneticPr fontId="1" type="noConversion"/>
  </si>
  <si>
    <t>당일 결제약정수량</t>
    <phoneticPr fontId="1" type="noConversion"/>
  </si>
  <si>
    <t>신규 주문간에 체결된 계약수</t>
    <phoneticPr fontId="1" type="noConversion"/>
  </si>
  <si>
    <t>당일 반대 매매간에 체결된 계약수</t>
    <phoneticPr fontId="1" type="noConversion"/>
  </si>
  <si>
    <t>미결제 약정 수량 증가분</t>
    <phoneticPr fontId="1" type="noConversion"/>
  </si>
  <si>
    <t xml:space="preserve">당일 거래량 </t>
    <phoneticPr fontId="1" type="noConversion"/>
  </si>
  <si>
    <t>반대 매매간 체결된 계약수</t>
    <phoneticPr fontId="1" type="noConversion"/>
  </si>
  <si>
    <t>(반대 매매를 통해 청산된 계약)</t>
    <phoneticPr fontId="1" type="noConversion"/>
  </si>
  <si>
    <t>3월물 KOSPI200 지수선물을 92.15에 1계약 매도하고 동시에 6월물 KOSPI200 지수 선물을 97.30에 1계약 매입하여 매도스프레드 포지션을 취한뒤, 3월 물과 6월물 KOSPI200 지수선물가격이 각각 95.20과 102.15로 상승하였다면 이 스프레드 전략의 손익은 얼마인가?</t>
    <phoneticPr fontId="1" type="noConversion"/>
  </si>
  <si>
    <t>3월물 손익</t>
    <phoneticPr fontId="1" type="noConversion"/>
  </si>
  <si>
    <t>6월물 손익</t>
    <phoneticPr fontId="1" type="noConversion"/>
  </si>
  <si>
    <t>KOSPI200 의 거래승수</t>
    <phoneticPr fontId="1" type="noConversion"/>
  </si>
  <si>
    <t>매도 스프레드 포지션</t>
    <phoneticPr fontId="1" type="noConversion"/>
  </si>
  <si>
    <t>매도</t>
    <phoneticPr fontId="1" type="noConversion"/>
  </si>
  <si>
    <t>만기 :</t>
    <phoneticPr fontId="1" type="noConversion"/>
  </si>
  <si>
    <t>매입</t>
    <phoneticPr fontId="1" type="noConversion"/>
  </si>
  <si>
    <t>긴 포지션</t>
    <phoneticPr fontId="1" type="noConversion"/>
  </si>
  <si>
    <t>짧은 포지션</t>
    <phoneticPr fontId="1" type="noConversion"/>
  </si>
  <si>
    <t>(예 : 3월만기)</t>
    <phoneticPr fontId="1" type="noConversion"/>
  </si>
  <si>
    <t>(예 : 6월만기)</t>
    <phoneticPr fontId="1" type="noConversion"/>
  </si>
  <si>
    <t>1기</t>
    <phoneticPr fontId="1" type="noConversion"/>
  </si>
  <si>
    <t>2기</t>
    <phoneticPr fontId="1" type="noConversion"/>
  </si>
  <si>
    <t>3월물</t>
    <phoneticPr fontId="1" type="noConversion"/>
  </si>
  <si>
    <t>6월물</t>
    <phoneticPr fontId="1" type="noConversion"/>
  </si>
  <si>
    <t>가격차이</t>
    <phoneticPr fontId="1" type="noConversion"/>
  </si>
  <si>
    <t>매수 스프레드는 보통 선물계약의 두기간의 가격차이가 축소 될 것을 예상하고 실행한다.</t>
    <phoneticPr fontId="1" type="noConversion"/>
  </si>
  <si>
    <t>매도 스프레드는 보통 선물계약의 두기간의 가격차이가 확대 될 것을 예상하고 실행한다.</t>
    <phoneticPr fontId="1" type="noConversion"/>
  </si>
  <si>
    <t>변화량</t>
    <phoneticPr fontId="1" type="noConversion"/>
  </si>
  <si>
    <t>매도 스프레드 수익 발생의 조건</t>
    <phoneticPr fontId="1" type="noConversion"/>
  </si>
  <si>
    <t xml:space="preserve">짧은 만기 선물의 가격이 긴 만기 선물의 가격보다 상대적으로 더 많이 하락하거나 덜 상승할 것으로 기대하는 경우 </t>
    <phoneticPr fontId="1" type="noConversion"/>
  </si>
  <si>
    <t>짧은 만기가 긴 만기 보다 불리할 조건</t>
    <phoneticPr fontId="1" type="noConversion"/>
  </si>
  <si>
    <t>KOSPI200의 거래승수</t>
    <phoneticPr fontId="1" type="noConversion"/>
  </si>
  <si>
    <t>매수</t>
    <phoneticPr fontId="1" type="noConversion"/>
  </si>
  <si>
    <t>최종손익</t>
    <phoneticPr fontId="1" type="noConversion"/>
  </si>
  <si>
    <t>매수 스프레드 수익 발생의 조건</t>
    <phoneticPr fontId="1" type="noConversion"/>
  </si>
  <si>
    <t>짧은 만기 선물의 가격이 긴 만기 선물의 가격보다 상대적으로 더 많이 상승하거나 덜 하락할 것으로 기대하는 경우</t>
    <phoneticPr fontId="1" type="noConversion"/>
  </si>
  <si>
    <t>짧은 만기가 긴 만기 보다 유리할 조건</t>
    <phoneticPr fontId="1" type="noConversion"/>
  </si>
  <si>
    <t xml:space="preserve">짧은 것이 유리하기 때문에 짧은 것을 매입하고 긴것을 매도 한다. (매입 스프레드 포지션) </t>
    <phoneticPr fontId="1" type="noConversion"/>
  </si>
  <si>
    <t>짧은 것이 불리하기 때문에 짧은 것을 매도하고 긴것을 매수한다.(매도 스프레드 포지션)</t>
    <phoneticPr fontId="1" type="noConversion"/>
  </si>
  <si>
    <t>매입 스프레드 포지션</t>
    <phoneticPr fontId="1" type="noConversion"/>
  </si>
  <si>
    <t>문제3</t>
    <phoneticPr fontId="1" type="noConversion"/>
  </si>
  <si>
    <t>문제1</t>
    <phoneticPr fontId="1" type="noConversion"/>
  </si>
  <si>
    <t>문제2</t>
    <phoneticPr fontId="1" type="noConversion"/>
  </si>
  <si>
    <t>액면가액</t>
    <phoneticPr fontId="1" type="noConversion"/>
  </si>
  <si>
    <t>현재 채권가격</t>
    <phoneticPr fontId="1" type="noConversion"/>
  </si>
  <si>
    <t>6월 만기 선물계약</t>
    <phoneticPr fontId="1" type="noConversion"/>
  </si>
  <si>
    <t>이자 지급(3월 후)</t>
    <phoneticPr fontId="1" type="noConversion"/>
  </si>
  <si>
    <t>무위험 이자율(연)</t>
    <phoneticPr fontId="1" type="noConversion"/>
  </si>
  <si>
    <t>채권선물의 이론가격</t>
    <phoneticPr fontId="1" type="noConversion"/>
  </si>
  <si>
    <t>F = (S - PV(I))*(1+r)^T</t>
    <phoneticPr fontId="1" type="noConversion"/>
  </si>
  <si>
    <t>PV(I) =</t>
    <phoneticPr fontId="1" type="noConversion"/>
  </si>
  <si>
    <t>F=</t>
    <phoneticPr fontId="1" type="noConversion"/>
  </si>
  <si>
    <t>선물 매도포지션으로 차익거래를 얻을 수 있다.</t>
    <phoneticPr fontId="1" type="noConversion"/>
  </si>
  <si>
    <t>선물매도 / 현물매수 / 차입</t>
    <phoneticPr fontId="1" type="noConversion"/>
  </si>
  <si>
    <t>차익거래이익</t>
    <phoneticPr fontId="1" type="noConversion"/>
  </si>
  <si>
    <t>문제 4</t>
    <phoneticPr fontId="1" type="noConversion"/>
  </si>
  <si>
    <t>현재 KOSPI200 지수</t>
    <phoneticPr fontId="1" type="noConversion"/>
  </si>
  <si>
    <t>현재 KOSPI200 지수 선물가격</t>
    <phoneticPr fontId="1" type="noConversion"/>
  </si>
  <si>
    <t>연배당률의 기대값</t>
    <phoneticPr fontId="1" type="noConversion"/>
  </si>
  <si>
    <t>만기 까지의 잔존일수</t>
    <phoneticPr fontId="1" type="noConversion"/>
  </si>
  <si>
    <t>91일 물 CD 금리(연)</t>
    <phoneticPr fontId="1" type="noConversion"/>
  </si>
  <si>
    <t>F = S(1+r-q)^T</t>
    <phoneticPr fontId="1" type="noConversion"/>
  </si>
  <si>
    <t xml:space="preserve">F = </t>
    <phoneticPr fontId="1" type="noConversion"/>
  </si>
  <si>
    <t>*CD는 양도성 예금 증서</t>
    <phoneticPr fontId="1" type="noConversion"/>
  </si>
  <si>
    <t>선물매도 / 현물지수매입 / 차입</t>
    <phoneticPr fontId="1" type="noConversion"/>
  </si>
  <si>
    <t>매수차익거래</t>
    <phoneticPr fontId="1" type="noConversion"/>
  </si>
  <si>
    <t>문제5</t>
    <phoneticPr fontId="1" type="noConversion"/>
  </si>
  <si>
    <t>만기 2개월 KOSPI200 지수선물</t>
    <phoneticPr fontId="1" type="noConversion"/>
  </si>
  <si>
    <t>무위험 이자율</t>
    <phoneticPr fontId="1" type="noConversion"/>
  </si>
  <si>
    <t>배당금 없음</t>
    <phoneticPr fontId="1" type="noConversion"/>
  </si>
  <si>
    <t>1개월 후 KOSPI200 지수</t>
    <phoneticPr fontId="1" type="noConversion"/>
  </si>
  <si>
    <t>차익거래 포지션을 취함</t>
    <phoneticPr fontId="1" type="noConversion"/>
  </si>
  <si>
    <t>1개월 후 KOSPI200 선물가격</t>
    <phoneticPr fontId="1" type="noConversion"/>
  </si>
  <si>
    <t>현재시점 선물의 이론가격</t>
    <phoneticPr fontId="1" type="noConversion"/>
  </si>
  <si>
    <t xml:space="preserve">매수차익거래 포지션을 취함(선물 매도 포지션)  </t>
    <phoneticPr fontId="1" type="noConversion"/>
  </si>
  <si>
    <t>선물 매도 / 현물매입 / 차입</t>
    <phoneticPr fontId="1" type="noConversion"/>
  </si>
  <si>
    <t>선물매도</t>
    <phoneticPr fontId="1" type="noConversion"/>
  </si>
  <si>
    <t>현물매입</t>
    <phoneticPr fontId="1" type="noConversion"/>
  </si>
  <si>
    <t>1개월 후</t>
    <phoneticPr fontId="1" type="noConversion"/>
  </si>
  <si>
    <t>문제 6</t>
    <phoneticPr fontId="1" type="noConversion"/>
  </si>
  <si>
    <t>금선물가격변화의 표준편차</t>
    <phoneticPr fontId="1" type="noConversion"/>
  </si>
  <si>
    <t>14K 금 가격변화의 표준편차</t>
    <phoneticPr fontId="1" type="noConversion"/>
  </si>
  <si>
    <r>
      <t xml:space="preserve">14K 금 가격변화와 금선물가격변화간의 </t>
    </r>
    <r>
      <rPr>
        <sz val="11"/>
        <color theme="1"/>
        <rFont val="Calibri"/>
        <family val="2"/>
        <charset val="161"/>
      </rPr>
      <t>ρ</t>
    </r>
    <phoneticPr fontId="1" type="noConversion"/>
  </si>
  <si>
    <t>최소분산 헤지비율은?</t>
    <phoneticPr fontId="1" type="noConversion"/>
  </si>
  <si>
    <r>
      <t xml:space="preserve">h* = </t>
    </r>
    <r>
      <rPr>
        <sz val="11"/>
        <color theme="1"/>
        <rFont val="Calibri"/>
        <family val="2"/>
        <charset val="161"/>
      </rPr>
      <t>ρ</t>
    </r>
    <r>
      <rPr>
        <sz val="11"/>
        <color theme="1"/>
        <rFont val="맑은 고딕"/>
        <family val="2"/>
        <charset val="129"/>
        <scheme val="minor"/>
      </rPr>
      <t xml:space="preserve"> * </t>
    </r>
    <r>
      <rPr>
        <sz val="11"/>
        <color theme="1"/>
        <rFont val="Calibri"/>
        <family val="2"/>
        <charset val="161"/>
      </rPr>
      <t>σ</t>
    </r>
    <r>
      <rPr>
        <sz val="11"/>
        <color theme="1"/>
        <rFont val="맑은 고딕"/>
        <family val="2"/>
        <charset val="129"/>
      </rPr>
      <t xml:space="preserve">S / </t>
    </r>
    <r>
      <rPr>
        <sz val="11"/>
        <color theme="1"/>
        <rFont val="Calibri"/>
        <family val="2"/>
        <charset val="161"/>
      </rPr>
      <t>σ</t>
    </r>
    <r>
      <rPr>
        <sz val="11"/>
        <color theme="1"/>
        <rFont val="맑은 고딕"/>
        <family val="2"/>
        <charset val="129"/>
      </rPr>
      <t xml:space="preserve">F </t>
    </r>
    <phoneticPr fontId="1" type="noConversion"/>
  </si>
  <si>
    <t>문제 7</t>
    <phoneticPr fontId="1" type="noConversion"/>
  </si>
  <si>
    <t xml:space="preserve">3개월 후 100kg 금이 필요한 기업 </t>
    <phoneticPr fontId="1" type="noConversion"/>
  </si>
  <si>
    <t>선물 매입 포지션 ( 1계약 - 1kg)</t>
    <phoneticPr fontId="1" type="noConversion"/>
  </si>
  <si>
    <t>최소분산헤지비율</t>
    <phoneticPr fontId="1" type="noConversion"/>
  </si>
  <si>
    <t>금선물 계약수</t>
    <phoneticPr fontId="1" type="noConversion"/>
  </si>
  <si>
    <t>선물 92계약을 매입 한다.</t>
    <phoneticPr fontId="1" type="noConversion"/>
  </si>
  <si>
    <t>문제 8</t>
    <phoneticPr fontId="1" type="noConversion"/>
  </si>
  <si>
    <t>KOSPI200 지수 선물 9월물</t>
    <phoneticPr fontId="1" type="noConversion"/>
  </si>
  <si>
    <t>계약수</t>
    <phoneticPr fontId="1" type="noConversion"/>
  </si>
  <si>
    <t>선물가격</t>
    <phoneticPr fontId="1" type="noConversion"/>
  </si>
  <si>
    <t>KOSPI200 지수 선물 12월물</t>
    <phoneticPr fontId="1" type="noConversion"/>
  </si>
  <si>
    <t>금액</t>
    <phoneticPr fontId="1" type="noConversion"/>
  </si>
  <si>
    <t>변동율</t>
    <phoneticPr fontId="1" type="noConversion"/>
  </si>
  <si>
    <t>매입 스프레드 손익</t>
    <phoneticPr fontId="1" type="noConversion"/>
  </si>
  <si>
    <t>짧은기간이 불리하다고 판단.</t>
    <phoneticPr fontId="1" type="noConversion"/>
  </si>
  <si>
    <t>실제로 짧은 것이 더 유리하기 때문에 매도 스프레드 포지션은 손실 발생</t>
    <phoneticPr fontId="1" type="noConversion"/>
  </si>
  <si>
    <t>문제 9</t>
    <phoneticPr fontId="1" type="noConversion"/>
  </si>
  <si>
    <t>주식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</si>
  <si>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</si>
  <si>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</si>
  <si>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</si>
  <si>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</si>
  <si>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시장가격</t>
    <phoneticPr fontId="1" type="noConversion"/>
  </si>
  <si>
    <t>보유주식수</t>
    <phoneticPr fontId="1" type="noConversion"/>
  </si>
  <si>
    <t>β</t>
    <phoneticPr fontId="1" type="noConversion"/>
  </si>
  <si>
    <t>현재 KOSPI200 선물가격</t>
    <phoneticPr fontId="1" type="noConversion"/>
  </si>
  <si>
    <t>가격변동리스크를 최소화 하는 헤징방법을 설명하시오.</t>
    <phoneticPr fontId="1" type="noConversion"/>
  </si>
  <si>
    <t>아래와 같이 4가지 종류의 주식으로 구성된 포트폴리오가 있다.</t>
    <phoneticPr fontId="1" type="noConversion"/>
  </si>
  <si>
    <t>=cov(Ra,RM)/var(RM),</t>
    <phoneticPr fontId="1" type="noConversion"/>
  </si>
  <si>
    <r>
      <t xml:space="preserve">포트폴리오의 </t>
    </r>
    <r>
      <rPr>
        <sz val="11"/>
        <color theme="1"/>
        <rFont val="Calibri"/>
        <family val="2"/>
        <charset val="161"/>
      </rPr>
      <t>β</t>
    </r>
    <phoneticPr fontId="1" type="noConversion"/>
  </si>
  <si>
    <t>비율</t>
    <phoneticPr fontId="1" type="noConversion"/>
  </si>
  <si>
    <t>보유 포트폴리오의 가치</t>
    <phoneticPr fontId="1" type="noConversion"/>
  </si>
  <si>
    <t>지수 선물가격의 1계약 금액</t>
    <phoneticPr fontId="1" type="noConversion"/>
  </si>
  <si>
    <t>매도 해야되는 선물계약의 수</t>
    <phoneticPr fontId="1" type="noConversion"/>
  </si>
  <si>
    <t>문제 10</t>
    <phoneticPr fontId="1" type="noConversion"/>
  </si>
  <si>
    <t>= (1.2 - 0) * 2억 / (160 * 25만원)</t>
    <phoneticPr fontId="1" type="noConversion"/>
  </si>
  <si>
    <t>펀드의 포트폴리오 규모</t>
    <phoneticPr fontId="1" type="noConversion"/>
  </si>
  <si>
    <r>
      <rPr>
        <sz val="11"/>
        <color theme="1"/>
        <rFont val="Arial Unicode MS"/>
        <family val="2"/>
        <charset val="129"/>
      </rPr>
      <t xml:space="preserve">펀드의 </t>
    </r>
    <r>
      <rPr>
        <sz val="11"/>
        <color theme="1"/>
        <rFont val="Calibri"/>
        <family val="2"/>
        <charset val="161"/>
      </rPr>
      <t>β</t>
    </r>
    <phoneticPr fontId="1" type="noConversion"/>
  </si>
  <si>
    <r>
      <t xml:space="preserve">향후 펀드의 </t>
    </r>
    <r>
      <rPr>
        <sz val="11"/>
        <color theme="1"/>
        <rFont val="맑은 고딕"/>
        <family val="3"/>
        <charset val="129"/>
      </rPr>
      <t>β</t>
    </r>
    <phoneticPr fontId="1" type="noConversion"/>
  </si>
  <si>
    <t>현재 KOSPI200 주가지수 선물 가격</t>
    <phoneticPr fontId="1" type="noConversion"/>
  </si>
  <si>
    <t>헤징 포지션 ?</t>
    <phoneticPr fontId="1" type="noConversion"/>
  </si>
  <si>
    <t>계약수 =</t>
    <phoneticPr fontId="1" type="noConversion"/>
  </si>
  <si>
    <r>
      <t xml:space="preserve">만약 펀드의 </t>
    </r>
    <r>
      <rPr>
        <sz val="11"/>
        <color theme="1"/>
        <rFont val="Calibri"/>
        <family val="2"/>
        <charset val="161"/>
      </rPr>
      <t>β</t>
    </r>
    <r>
      <rPr>
        <sz val="11"/>
        <color theme="1"/>
        <rFont val="Arial Unicode MS"/>
        <family val="2"/>
        <charset val="129"/>
      </rPr>
      <t>를 2.0으로 만들고자 할경우</t>
    </r>
    <phoneticPr fontId="1" type="noConversion"/>
  </si>
  <si>
    <t>선물계약 매도포지션</t>
    <phoneticPr fontId="1" type="noConversion"/>
  </si>
  <si>
    <r>
      <t>N* = (</t>
    </r>
    <r>
      <rPr>
        <sz val="11"/>
        <color theme="1"/>
        <rFont val="Calibri"/>
        <family val="2"/>
        <charset val="161"/>
      </rPr>
      <t>β -β</t>
    </r>
    <r>
      <rPr>
        <sz val="11"/>
        <color theme="1"/>
        <rFont val="맑은 고딕"/>
        <family val="2"/>
        <charset val="129"/>
      </rPr>
      <t>*</t>
    </r>
    <r>
      <rPr>
        <sz val="11"/>
        <color theme="1"/>
        <rFont val="맑은 고딕"/>
        <family val="2"/>
        <charset val="129"/>
        <scheme val="minor"/>
      </rPr>
      <t>) Ts/Qp</t>
    </r>
    <phoneticPr fontId="1" type="noConversion"/>
  </si>
  <si>
    <t>선물계약 매수포지션</t>
    <phoneticPr fontId="1" type="noConversion"/>
  </si>
  <si>
    <r>
      <rPr>
        <sz val="11"/>
        <color theme="1"/>
        <rFont val="맑은 고딕"/>
        <family val="2"/>
        <charset val="129"/>
      </rPr>
      <t>β</t>
    </r>
    <r>
      <rPr>
        <sz val="11"/>
        <color theme="1"/>
        <rFont val="맑은 고딕"/>
        <family val="2"/>
        <charset val="129"/>
        <scheme val="minor"/>
      </rPr>
      <t>*를 0일때 가격 변동 최소화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</si>
</sst>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0_);[Red]\(0.000\)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  <charset val="161"/>
    </font>
    <font>
      <sz val="11"/>
      <color theme="1"/>
      <name val="맑은 고딕"/>
      <family val="2"/>
      <charset val="129"/>
    </font>
    <font>
      <sz val="11"/>
      <color theme="1"/>
      <name val="Arial Unicode MS"/>
      <family val="2"/>
      <charset val="129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10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9" fontId="0" fillId="0" borderId="1" xfId="0" applyNumberFormat="1" applyBorder="1">
      <alignment vertical="center"/>
    </xf>
    <xf numFmtId="3" fontId="0" fillId="0" borderId="1" xfId="0" applyNumberFormat="1" applyBorder="1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107AB-668E-4E8A-8403-EA3A02002748}">
  <dimension ref="B2:G84"/>
  <sheetViews>
    <sheetView topLeftCell="A69" workbookViewId="0">
      <selection activeCell="B36" sqref="B36"/>
    </sheetView>
  </sheetViews>
  <sheetFormatPr defaultRowHeight="16.5"/>
  <cols>
    <col min="2" max="3" width="11.625" bestFit="1" customWidth="1"/>
    <col min="4" max="4" width="12.5" bestFit="1" customWidth="1"/>
  </cols>
  <sheetData>
    <row r="2" spans="2:4">
      <c r="B2" t="s">
        <v>0</v>
      </c>
    </row>
    <row r="4" spans="2:4">
      <c r="B4" t="s">
        <v>1</v>
      </c>
    </row>
    <row r="5" spans="2:4">
      <c r="B5" t="s">
        <v>4</v>
      </c>
    </row>
    <row r="6" spans="2:4">
      <c r="B6" t="s">
        <v>3</v>
      </c>
    </row>
    <row r="8" spans="2:4">
      <c r="B8" t="s">
        <v>5</v>
      </c>
    </row>
    <row r="9" spans="2:4">
      <c r="B9" s="4" t="s">
        <v>6</v>
      </c>
      <c r="C9" s="4"/>
      <c r="D9" s="4">
        <v>1100</v>
      </c>
    </row>
    <row r="10" spans="2:4">
      <c r="B10" s="4" t="s">
        <v>7</v>
      </c>
      <c r="C10" s="4"/>
      <c r="D10" s="9">
        <v>0.04</v>
      </c>
    </row>
    <row r="11" spans="2:4">
      <c r="B11" s="4" t="s">
        <v>8</v>
      </c>
      <c r="C11" s="4"/>
      <c r="D11" s="9">
        <v>0.02</v>
      </c>
    </row>
    <row r="12" spans="2:4">
      <c r="B12" s="4" t="s">
        <v>9</v>
      </c>
      <c r="C12" s="4"/>
      <c r="D12" s="4"/>
    </row>
    <row r="13" spans="2:4">
      <c r="B13" t="s">
        <v>2</v>
      </c>
      <c r="C13">
        <f>D9*(1+D10-D11)^0.25</f>
        <v>1105.4592247305243</v>
      </c>
    </row>
    <row r="15" spans="2:4">
      <c r="B15" t="s">
        <v>15</v>
      </c>
    </row>
    <row r="16" spans="2:4">
      <c r="B16" s="4" t="s">
        <v>10</v>
      </c>
      <c r="C16" s="4"/>
      <c r="D16" s="4">
        <v>1184.7</v>
      </c>
    </row>
    <row r="17" spans="2:7">
      <c r="B17" s="4" t="s">
        <v>11</v>
      </c>
      <c r="C17" s="4"/>
      <c r="D17" s="6">
        <v>8.0999999999999996E-3</v>
      </c>
    </row>
    <row r="18" spans="2:7">
      <c r="B18" s="4" t="s">
        <v>12</v>
      </c>
      <c r="C18" s="4"/>
      <c r="D18" s="6">
        <v>4.1000000000000003E-3</v>
      </c>
    </row>
    <row r="19" spans="2:7">
      <c r="B19" s="4" t="s">
        <v>16</v>
      </c>
      <c r="C19" s="4"/>
      <c r="D19" s="8">
        <v>6</v>
      </c>
    </row>
    <row r="20" spans="2:7">
      <c r="B20" t="s">
        <v>14</v>
      </c>
      <c r="C20">
        <f>D16*(1+D17-D18)^(D19/252)</f>
        <v>1184.8126088657846</v>
      </c>
    </row>
    <row r="22" spans="2:7">
      <c r="B22" t="s">
        <v>17</v>
      </c>
    </row>
    <row r="23" spans="2:7">
      <c r="B23" s="4" t="s">
        <v>24</v>
      </c>
      <c r="C23" s="4"/>
      <c r="D23" s="4">
        <v>1200</v>
      </c>
    </row>
    <row r="24" spans="2:7">
      <c r="B24" s="4" t="s">
        <v>25</v>
      </c>
      <c r="C24" s="4"/>
      <c r="D24" s="4">
        <v>1204</v>
      </c>
    </row>
    <row r="25" spans="2:7">
      <c r="B25" s="4" t="s">
        <v>26</v>
      </c>
      <c r="C25" s="4"/>
      <c r="D25" s="4">
        <v>19</v>
      </c>
    </row>
    <row r="26" spans="2:7">
      <c r="B26" s="4" t="s">
        <v>27</v>
      </c>
      <c r="C26" s="4"/>
      <c r="D26" s="6">
        <v>1.4E-2</v>
      </c>
    </row>
    <row r="27" spans="2:7">
      <c r="B27" s="4" t="s">
        <v>28</v>
      </c>
      <c r="C27" s="4"/>
      <c r="D27" s="6">
        <v>4.9000000000000002E-2</v>
      </c>
    </row>
    <row r="28" spans="2:7">
      <c r="B28" s="4" t="s">
        <v>29</v>
      </c>
      <c r="C28" s="4"/>
      <c r="D28" s="7">
        <f>D23*(1+D27-D26)^(19/365)</f>
        <v>1202.1508362789291</v>
      </c>
    </row>
    <row r="30" spans="2:7">
      <c r="B30" t="s">
        <v>18</v>
      </c>
      <c r="C30" t="s">
        <v>19</v>
      </c>
      <c r="D30" t="s">
        <v>20</v>
      </c>
    </row>
    <row r="31" spans="2:7">
      <c r="B31" t="s">
        <v>21</v>
      </c>
      <c r="C31">
        <v>0</v>
      </c>
      <c r="D31" t="s">
        <v>30</v>
      </c>
    </row>
    <row r="32" spans="2:7">
      <c r="B32" t="s">
        <v>22</v>
      </c>
      <c r="C32">
        <v>-1000000</v>
      </c>
      <c r="D32" s="3" t="s">
        <v>31</v>
      </c>
      <c r="G32" s="2">
        <f>(((1+0.014)^(19/365))*1000000-1000000)*1204</f>
        <v>871665.67744988017</v>
      </c>
    </row>
    <row r="33" spans="2:7">
      <c r="B33" t="s">
        <v>23</v>
      </c>
      <c r="C33">
        <f>-C32*D23</f>
        <v>1200000000</v>
      </c>
      <c r="D33">
        <f>-C33*(1+D27)^(19/365)</f>
        <v>-1202991918.4589829</v>
      </c>
    </row>
    <row r="34" spans="2:7">
      <c r="B34" t="s">
        <v>32</v>
      </c>
      <c r="C34">
        <v>0</v>
      </c>
      <c r="D34" t="s">
        <v>33</v>
      </c>
      <c r="G34">
        <f>724*1204</f>
        <v>871696</v>
      </c>
    </row>
    <row r="37" spans="2:7">
      <c r="B37" t="s">
        <v>34</v>
      </c>
    </row>
    <row r="39" spans="2:7">
      <c r="B39" t="s">
        <v>35</v>
      </c>
    </row>
    <row r="40" spans="2:7">
      <c r="B40" t="s">
        <v>36</v>
      </c>
    </row>
    <row r="41" spans="2:7">
      <c r="B41" t="s">
        <v>37</v>
      </c>
    </row>
    <row r="42" spans="2:7">
      <c r="B42" t="s">
        <v>38</v>
      </c>
    </row>
    <row r="43" spans="2:7">
      <c r="B43" t="s">
        <v>39</v>
      </c>
    </row>
    <row r="45" spans="2:7">
      <c r="B45" t="s">
        <v>40</v>
      </c>
    </row>
    <row r="46" spans="2:7">
      <c r="B46" t="s">
        <v>41</v>
      </c>
    </row>
    <row r="47" spans="2:7">
      <c r="B47" t="s">
        <v>42</v>
      </c>
    </row>
    <row r="48" spans="2:7">
      <c r="B48" t="s">
        <v>43</v>
      </c>
    </row>
    <row r="50" spans="2:6">
      <c r="B50" t="s">
        <v>44</v>
      </c>
    </row>
    <row r="51" spans="2:6">
      <c r="B51" t="s">
        <v>45</v>
      </c>
    </row>
    <row r="52" spans="2:6">
      <c r="B52" t="s">
        <v>46</v>
      </c>
    </row>
    <row r="53" spans="2:6">
      <c r="B53" t="s">
        <v>47</v>
      </c>
    </row>
    <row r="55" spans="2:6">
      <c r="B55" t="s">
        <v>48</v>
      </c>
    </row>
    <row r="56" spans="2:6">
      <c r="B56" t="s">
        <v>49</v>
      </c>
    </row>
    <row r="58" spans="2:6">
      <c r="B58" t="s">
        <v>50</v>
      </c>
    </row>
    <row r="59" spans="2:6">
      <c r="B59" s="4" t="s">
        <v>52</v>
      </c>
      <c r="C59" s="4"/>
      <c r="D59" s="4">
        <v>900</v>
      </c>
    </row>
    <row r="60" spans="2:6">
      <c r="B60" s="4" t="s">
        <v>51</v>
      </c>
      <c r="C60" s="4"/>
      <c r="D60" s="4"/>
    </row>
    <row r="61" spans="2:6">
      <c r="B61" s="4" t="s">
        <v>53</v>
      </c>
      <c r="C61" s="4"/>
      <c r="D61" s="9">
        <v>0.03</v>
      </c>
    </row>
    <row r="62" spans="2:6">
      <c r="B62" s="4" t="s">
        <v>54</v>
      </c>
      <c r="C62" s="4"/>
      <c r="D62" s="9">
        <v>0.04</v>
      </c>
    </row>
    <row r="63" spans="2:6">
      <c r="B63" s="4" t="s">
        <v>55</v>
      </c>
      <c r="C63" s="4"/>
      <c r="D63" s="4"/>
      <c r="F63" s="1"/>
    </row>
    <row r="64" spans="2:6">
      <c r="B64" s="4" t="s">
        <v>57</v>
      </c>
      <c r="C64" s="4"/>
      <c r="D64" s="4">
        <f>(((1+D62)^0.75)/((1+D61)^(1/3)))^(12/5)-1</f>
        <v>4.8069857799238003E-2</v>
      </c>
      <c r="F64" s="3" t="s">
        <v>58</v>
      </c>
    </row>
    <row r="65" spans="2:6">
      <c r="F65" t="s">
        <v>59</v>
      </c>
    </row>
    <row r="66" spans="2:6">
      <c r="B66" t="s">
        <v>56</v>
      </c>
    </row>
    <row r="67" spans="2:6">
      <c r="B67" t="s">
        <v>13</v>
      </c>
      <c r="C67">
        <f>(D59-(40/((1+D61)^(1/3))))*((1+D62)^(0.75))</f>
        <v>886.0769925615142</v>
      </c>
    </row>
    <row r="69" spans="2:6">
      <c r="B69" t="s">
        <v>17</v>
      </c>
    </row>
    <row r="70" spans="2:6">
      <c r="B70" t="s">
        <v>60</v>
      </c>
    </row>
    <row r="71" spans="2:6">
      <c r="B71" s="4" t="s">
        <v>18</v>
      </c>
      <c r="C71" s="4" t="s">
        <v>19</v>
      </c>
      <c r="D71" s="4" t="s">
        <v>61</v>
      </c>
      <c r="E71" s="4" t="s">
        <v>62</v>
      </c>
    </row>
    <row r="72" spans="2:6">
      <c r="B72" s="4" t="s">
        <v>21</v>
      </c>
      <c r="C72" s="4">
        <v>0</v>
      </c>
      <c r="D72" s="4"/>
      <c r="E72" s="4" t="s">
        <v>65</v>
      </c>
    </row>
    <row r="73" spans="2:6">
      <c r="B73" s="4" t="s">
        <v>63</v>
      </c>
      <c r="C73" s="4">
        <v>-900</v>
      </c>
      <c r="D73" s="4">
        <v>40</v>
      </c>
      <c r="E73" s="4" t="s">
        <v>66</v>
      </c>
    </row>
    <row r="74" spans="2:6">
      <c r="B74" s="4" t="s">
        <v>23</v>
      </c>
      <c r="C74" s="4">
        <v>900</v>
      </c>
      <c r="D74" s="4"/>
      <c r="E74" s="4">
        <f>-C74*(1+D62)^0.75</f>
        <v>-926.86720065504119</v>
      </c>
    </row>
    <row r="75" spans="2:6">
      <c r="B75" s="4" t="s">
        <v>64</v>
      </c>
      <c r="C75" s="4"/>
      <c r="D75" s="4">
        <v>-40</v>
      </c>
      <c r="E75" s="4">
        <f>-D75*((1+D64)^(5/12))</f>
        <v>40.790208093526857</v>
      </c>
    </row>
    <row r="76" spans="2:6">
      <c r="B76" s="4" t="s">
        <v>32</v>
      </c>
      <c r="C76" s="4">
        <f>SUM(C72:C75)</f>
        <v>0</v>
      </c>
      <c r="D76" s="4">
        <f>SUM(D72:D75)</f>
        <v>0</v>
      </c>
      <c r="E76" s="4">
        <f>910+E74+E75</f>
        <v>23.923007438485669</v>
      </c>
    </row>
    <row r="78" spans="2:6">
      <c r="B78" t="s">
        <v>67</v>
      </c>
    </row>
    <row r="79" spans="2:6">
      <c r="B79" s="4" t="s">
        <v>18</v>
      </c>
      <c r="C79" s="4" t="s">
        <v>19</v>
      </c>
      <c r="D79" s="4" t="s">
        <v>61</v>
      </c>
      <c r="E79" s="4" t="s">
        <v>62</v>
      </c>
    </row>
    <row r="80" spans="2:6">
      <c r="B80" s="4" t="s">
        <v>68</v>
      </c>
      <c r="C80" s="4">
        <v>0</v>
      </c>
      <c r="D80" s="4"/>
      <c r="E80" s="4" t="s">
        <v>71</v>
      </c>
    </row>
    <row r="81" spans="2:5">
      <c r="B81" s="4" t="s">
        <v>69</v>
      </c>
      <c r="C81" s="4">
        <v>900</v>
      </c>
      <c r="D81" s="4">
        <v>-40</v>
      </c>
      <c r="E81" s="5" t="s">
        <v>70</v>
      </c>
    </row>
    <row r="82" spans="2:5">
      <c r="B82" s="4" t="s">
        <v>64</v>
      </c>
      <c r="C82" s="4">
        <v>-900</v>
      </c>
      <c r="D82" s="4"/>
      <c r="E82" s="4">
        <f>-C82*((1+D62)^0.75)</f>
        <v>926.86720065504119</v>
      </c>
    </row>
    <row r="83" spans="2:5">
      <c r="B83" s="4" t="s">
        <v>23</v>
      </c>
      <c r="C83" s="4"/>
      <c r="D83" s="4">
        <v>40</v>
      </c>
      <c r="E83" s="4">
        <f>-D83*((1+D64)^(5/12))</f>
        <v>-40.790208093526857</v>
      </c>
    </row>
    <row r="84" spans="2:5">
      <c r="B84" s="4" t="s">
        <v>32</v>
      </c>
      <c r="C84" s="4"/>
      <c r="D84" s="4"/>
      <c r="E84" s="4">
        <f>E82-870+E83</f>
        <v>16.076992561514331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E388D-1690-487A-A826-BC0DB4A82B97}">
  <dimension ref="A2:F96"/>
  <sheetViews>
    <sheetView topLeftCell="A33" workbookViewId="0">
      <selection activeCell="H82" sqref="H82"/>
    </sheetView>
  </sheetViews>
  <sheetFormatPr defaultRowHeight="16.5"/>
  <cols>
    <col min="2" max="2" width="13.75" bestFit="1" customWidth="1"/>
  </cols>
  <sheetData>
    <row r="2" spans="2:4">
      <c r="B2" t="s">
        <v>72</v>
      </c>
    </row>
    <row r="3" spans="2:4">
      <c r="B3" t="s">
        <v>73</v>
      </c>
    </row>
    <row r="4" spans="2:4">
      <c r="B4" t="s">
        <v>74</v>
      </c>
    </row>
    <row r="5" spans="2:4">
      <c r="B5" t="s">
        <v>75</v>
      </c>
    </row>
    <row r="7" spans="2:4">
      <c r="B7" t="s">
        <v>76</v>
      </c>
    </row>
    <row r="8" spans="2:4">
      <c r="B8" t="s">
        <v>77</v>
      </c>
    </row>
    <row r="9" spans="2:4">
      <c r="B9" t="s">
        <v>78</v>
      </c>
    </row>
    <row r="10" spans="2:4">
      <c r="B10" t="s">
        <v>79</v>
      </c>
    </row>
    <row r="12" spans="2:4">
      <c r="B12" t="s">
        <v>80</v>
      </c>
      <c r="C12" t="s">
        <v>81</v>
      </c>
    </row>
    <row r="13" spans="2:4">
      <c r="B13" t="s">
        <v>82</v>
      </c>
      <c r="C13" t="s">
        <v>83</v>
      </c>
    </row>
    <row r="15" spans="2:4">
      <c r="B15" t="s">
        <v>5</v>
      </c>
    </row>
    <row r="16" spans="2:4">
      <c r="B16" s="4" t="s">
        <v>84</v>
      </c>
      <c r="C16" s="4"/>
      <c r="D16" s="4">
        <v>800</v>
      </c>
    </row>
    <row r="17" spans="2:4">
      <c r="B17" s="4" t="s">
        <v>85</v>
      </c>
      <c r="C17" s="4"/>
      <c r="D17" s="9">
        <v>7.0000000000000007E-2</v>
      </c>
    </row>
    <row r="18" spans="2:4">
      <c r="B18" s="4" t="s">
        <v>86</v>
      </c>
      <c r="C18" s="4"/>
      <c r="D18" s="4">
        <v>4</v>
      </c>
    </row>
    <row r="19" spans="2:4">
      <c r="B19" s="4" t="s">
        <v>87</v>
      </c>
      <c r="C19" s="4"/>
      <c r="D19" s="4"/>
    </row>
    <row r="20" spans="2:4">
      <c r="B20" s="4" t="s">
        <v>14</v>
      </c>
      <c r="C20" s="4">
        <f>(D16+D18)*(1+D17)^1</f>
        <v>860.28000000000009</v>
      </c>
      <c r="D20" s="4"/>
    </row>
    <row r="22" spans="2:4">
      <c r="B22" t="s">
        <v>90</v>
      </c>
    </row>
    <row r="24" spans="2:4">
      <c r="B24" s="4" t="s">
        <v>18</v>
      </c>
      <c r="C24" s="4" t="s">
        <v>19</v>
      </c>
      <c r="D24" s="4" t="s">
        <v>88</v>
      </c>
    </row>
    <row r="25" spans="2:4">
      <c r="B25" s="4" t="s">
        <v>89</v>
      </c>
      <c r="C25" s="4">
        <v>0</v>
      </c>
      <c r="D25" s="4" t="s">
        <v>91</v>
      </c>
    </row>
    <row r="26" spans="2:4">
      <c r="B26" s="4" t="s">
        <v>92</v>
      </c>
      <c r="C26" s="4">
        <v>-804</v>
      </c>
      <c r="D26" s="4" t="s">
        <v>93</v>
      </c>
    </row>
    <row r="27" spans="2:4">
      <c r="B27" s="4" t="s">
        <v>94</v>
      </c>
      <c r="C27" s="4">
        <v>804</v>
      </c>
      <c r="D27" s="4">
        <f>-(C27)*(1+D17)^1</f>
        <v>-860.28000000000009</v>
      </c>
    </row>
    <row r="28" spans="2:4">
      <c r="B28" s="4" t="s">
        <v>95</v>
      </c>
      <c r="C28" s="4">
        <f>SUM(C25:C27)</f>
        <v>0</v>
      </c>
      <c r="D28" s="4">
        <f>900+D27</f>
        <v>39.719999999999914</v>
      </c>
    </row>
    <row r="30" spans="2:4">
      <c r="B30" t="s">
        <v>96</v>
      </c>
    </row>
    <row r="32" spans="2:4">
      <c r="B32" s="4" t="s">
        <v>18</v>
      </c>
      <c r="C32" s="4" t="s">
        <v>19</v>
      </c>
      <c r="D32" s="4" t="s">
        <v>88</v>
      </c>
    </row>
    <row r="33" spans="2:4">
      <c r="B33" s="4" t="s">
        <v>97</v>
      </c>
      <c r="C33" s="4">
        <v>0</v>
      </c>
      <c r="D33" s="4" t="s">
        <v>100</v>
      </c>
    </row>
    <row r="34" spans="2:4">
      <c r="B34" s="4" t="s">
        <v>98</v>
      </c>
      <c r="C34" s="4">
        <v>804</v>
      </c>
      <c r="D34" s="4" t="s">
        <v>99</v>
      </c>
    </row>
    <row r="35" spans="2:4">
      <c r="B35" s="4" t="s">
        <v>64</v>
      </c>
      <c r="C35" s="4">
        <v>-804</v>
      </c>
      <c r="D35" s="4">
        <f>-C35*(1+D17)^1</f>
        <v>860.28000000000009</v>
      </c>
    </row>
    <row r="36" spans="2:4">
      <c r="B36" s="4" t="s">
        <v>95</v>
      </c>
      <c r="C36" s="4">
        <f>SUM(C33:C35)</f>
        <v>0</v>
      </c>
      <c r="D36" s="4">
        <f>D35-780</f>
        <v>80.280000000000086</v>
      </c>
    </row>
    <row r="38" spans="2:4">
      <c r="B38" t="s">
        <v>101</v>
      </c>
    </row>
    <row r="40" spans="2:4">
      <c r="B40" t="s">
        <v>102</v>
      </c>
    </row>
    <row r="41" spans="2:4">
      <c r="B41" t="s">
        <v>103</v>
      </c>
    </row>
    <row r="42" spans="2:4">
      <c r="B42" t="s">
        <v>104</v>
      </c>
    </row>
    <row r="43" spans="2:4">
      <c r="B43" t="s">
        <v>105</v>
      </c>
    </row>
    <row r="45" spans="2:4">
      <c r="B45" t="s">
        <v>113</v>
      </c>
      <c r="C45" t="s">
        <v>114</v>
      </c>
      <c r="D45" t="s">
        <v>115</v>
      </c>
    </row>
    <row r="46" spans="2:4">
      <c r="B46" t="s">
        <v>116</v>
      </c>
      <c r="C46" t="s">
        <v>114</v>
      </c>
      <c r="D46" t="s">
        <v>117</v>
      </c>
    </row>
    <row r="47" spans="2:4">
      <c r="B47" t="s">
        <v>118</v>
      </c>
      <c r="C47" t="s">
        <v>114</v>
      </c>
      <c r="D47" t="s">
        <v>119</v>
      </c>
    </row>
    <row r="50" spans="2:4">
      <c r="B50" t="s">
        <v>106</v>
      </c>
    </row>
    <row r="51" spans="2:4">
      <c r="B51" t="s">
        <v>107</v>
      </c>
    </row>
    <row r="52" spans="2:4">
      <c r="B52" t="s">
        <v>120</v>
      </c>
    </row>
    <row r="54" spans="2:4">
      <c r="B54" t="s">
        <v>109</v>
      </c>
    </row>
    <row r="55" spans="2:4">
      <c r="B55" t="s">
        <v>108</v>
      </c>
      <c r="C55" t="s">
        <v>2</v>
      </c>
      <c r="D55" t="s">
        <v>111</v>
      </c>
    </row>
    <row r="56" spans="2:4">
      <c r="B56" t="s">
        <v>110</v>
      </c>
      <c r="C56" t="s">
        <v>2</v>
      </c>
      <c r="D56" t="s">
        <v>112</v>
      </c>
    </row>
    <row r="57" spans="2:4">
      <c r="B57" t="s">
        <v>121</v>
      </c>
    </row>
    <row r="59" spans="2:4">
      <c r="B59" t="s">
        <v>122</v>
      </c>
    </row>
    <row r="60" spans="2:4">
      <c r="B60" t="s">
        <v>123</v>
      </c>
    </row>
    <row r="61" spans="2:4">
      <c r="B61" t="s">
        <v>124</v>
      </c>
    </row>
    <row r="62" spans="2:4">
      <c r="B62" t="s">
        <v>125</v>
      </c>
    </row>
    <row r="63" spans="2:4">
      <c r="B63" t="s">
        <v>126</v>
      </c>
    </row>
    <row r="64" spans="2:4">
      <c r="B64" t="s">
        <v>127</v>
      </c>
    </row>
    <row r="65" spans="2:3">
      <c r="B65" t="s">
        <v>128</v>
      </c>
    </row>
    <row r="67" spans="2:3">
      <c r="B67" t="s">
        <v>129</v>
      </c>
    </row>
    <row r="68" spans="2:3">
      <c r="B68" s="3" t="s">
        <v>130</v>
      </c>
    </row>
    <row r="69" spans="2:3">
      <c r="B69" t="s">
        <v>131</v>
      </c>
      <c r="C69" t="s">
        <v>132</v>
      </c>
    </row>
    <row r="70" spans="2:3">
      <c r="B70" t="s">
        <v>133</v>
      </c>
      <c r="C70" t="s">
        <v>134</v>
      </c>
    </row>
    <row r="72" spans="2:3">
      <c r="B72" t="s">
        <v>50</v>
      </c>
    </row>
    <row r="73" spans="2:3">
      <c r="B73" t="s">
        <v>135</v>
      </c>
      <c r="C73" t="s">
        <v>136</v>
      </c>
    </row>
    <row r="74" spans="2:3">
      <c r="B74" t="s">
        <v>137</v>
      </c>
      <c r="C74" t="s">
        <v>138</v>
      </c>
    </row>
    <row r="75" spans="2:3">
      <c r="B75" t="s">
        <v>139</v>
      </c>
    </row>
    <row r="76" spans="2:3">
      <c r="B76" t="s">
        <v>140</v>
      </c>
    </row>
    <row r="77" spans="2:3">
      <c r="B77" t="s">
        <v>141</v>
      </c>
    </row>
    <row r="78" spans="2:3">
      <c r="B78" t="s">
        <v>142</v>
      </c>
      <c r="C78" s="3" t="s">
        <v>143</v>
      </c>
    </row>
    <row r="79" spans="2:3">
      <c r="B79" t="s">
        <v>144</v>
      </c>
      <c r="C79" t="s">
        <v>145</v>
      </c>
    </row>
    <row r="81" spans="1:6">
      <c r="B81" t="s">
        <v>146</v>
      </c>
    </row>
    <row r="83" spans="1:6">
      <c r="B83" s="3" t="s">
        <v>147</v>
      </c>
      <c r="F83" t="s">
        <v>148</v>
      </c>
    </row>
    <row r="85" spans="1:6">
      <c r="B85" t="s">
        <v>149</v>
      </c>
    </row>
    <row r="86" spans="1:6">
      <c r="B86" t="s">
        <v>150</v>
      </c>
    </row>
    <row r="87" spans="1:6">
      <c r="B87" t="s">
        <v>151</v>
      </c>
    </row>
    <row r="89" spans="1:6">
      <c r="B89" t="s">
        <v>154</v>
      </c>
    </row>
    <row r="90" spans="1:6">
      <c r="B90" t="s">
        <v>152</v>
      </c>
      <c r="C90" t="s">
        <v>153</v>
      </c>
    </row>
    <row r="92" spans="1:6">
      <c r="B92" t="s">
        <v>155</v>
      </c>
    </row>
    <row r="93" spans="1:6">
      <c r="B93" t="s">
        <v>156</v>
      </c>
      <c r="C93" t="s">
        <v>157</v>
      </c>
    </row>
    <row r="95" spans="1:6">
      <c r="B95" t="s">
        <v>158</v>
      </c>
    </row>
    <row r="96" spans="1:6">
      <c r="A96" t="s">
        <v>159</v>
      </c>
      <c r="B96" t="s">
        <v>160</v>
      </c>
      <c r="C96" t="s">
        <v>161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F2111-9B32-4A9D-9C74-A5830BE18D50}">
  <dimension ref="A2:I160"/>
  <sheetViews>
    <sheetView tabSelected="1" topLeftCell="A121" workbookViewId="0">
      <selection activeCell="C133" sqref="C133"/>
    </sheetView>
  </sheetViews>
  <sheetFormatPr defaultRowHeight="16.5"/>
  <cols>
    <col min="2" max="2" width="26.625" bestFit="1" customWidth="1"/>
    <col min="3" max="3" width="21.625" bestFit="1" customWidth="1"/>
    <col min="4" max="4" width="12.125" bestFit="1" customWidth="1"/>
    <col min="5" max="5" width="20.75" bestFit="1" customWidth="1"/>
    <col min="6" max="6" width="11.625" bestFit="1" customWidth="1"/>
  </cols>
  <sheetData>
    <row r="2" spans="1:6">
      <c r="B2" t="s">
        <v>162</v>
      </c>
    </row>
    <row r="4" spans="1:6">
      <c r="B4" t="s">
        <v>163</v>
      </c>
      <c r="C4" t="s">
        <v>164</v>
      </c>
      <c r="E4" s="3" t="s">
        <v>165</v>
      </c>
      <c r="F4">
        <f>100/5</f>
        <v>20</v>
      </c>
    </row>
    <row r="6" spans="1:6">
      <c r="B6" t="s">
        <v>166</v>
      </c>
    </row>
    <row r="7" spans="1:6">
      <c r="B7" t="s">
        <v>167</v>
      </c>
    </row>
    <row r="9" spans="1:6">
      <c r="B9" t="s">
        <v>168</v>
      </c>
    </row>
    <row r="11" spans="1:6">
      <c r="A11" t="s">
        <v>210</v>
      </c>
      <c r="B11" t="s">
        <v>169</v>
      </c>
      <c r="D11">
        <v>1500</v>
      </c>
      <c r="E11" t="s">
        <v>174</v>
      </c>
      <c r="F11">
        <v>1200</v>
      </c>
    </row>
    <row r="12" spans="1:6">
      <c r="B12" t="s">
        <v>170</v>
      </c>
      <c r="D12">
        <v>1700</v>
      </c>
    </row>
    <row r="13" spans="1:6">
      <c r="B13" t="s">
        <v>171</v>
      </c>
      <c r="D13">
        <v>350</v>
      </c>
    </row>
    <row r="14" spans="1:6">
      <c r="B14" t="s">
        <v>172</v>
      </c>
    </row>
    <row r="16" spans="1:6">
      <c r="B16" t="s">
        <v>173</v>
      </c>
      <c r="D16">
        <f>D12-D11</f>
        <v>200</v>
      </c>
    </row>
    <row r="17" spans="1:9">
      <c r="B17" t="s">
        <v>175</v>
      </c>
      <c r="D17">
        <f>D13-D16</f>
        <v>150</v>
      </c>
    </row>
    <row r="18" spans="1:9">
      <c r="B18" t="s">
        <v>176</v>
      </c>
    </row>
    <row r="20" spans="1:9">
      <c r="A20" t="s">
        <v>211</v>
      </c>
      <c r="B20" t="s">
        <v>177</v>
      </c>
    </row>
    <row r="21" spans="1:9">
      <c r="C21" t="s">
        <v>180</v>
      </c>
      <c r="D21">
        <v>250000</v>
      </c>
      <c r="F21" t="s">
        <v>189</v>
      </c>
      <c r="G21" t="s">
        <v>190</v>
      </c>
      <c r="H21" t="s">
        <v>196</v>
      </c>
    </row>
    <row r="22" spans="1:9">
      <c r="A22" t="s">
        <v>182</v>
      </c>
      <c r="B22" t="s">
        <v>178</v>
      </c>
      <c r="C22">
        <f>(F22-G22)*1*$D$21</f>
        <v>-762499.9999999993</v>
      </c>
      <c r="E22" t="s">
        <v>191</v>
      </c>
      <c r="F22">
        <v>92.15</v>
      </c>
      <c r="G22">
        <v>95.2</v>
      </c>
      <c r="H22">
        <f>(G22-F22)/F22</f>
        <v>3.3098209441128561E-2</v>
      </c>
      <c r="I22" t="s">
        <v>197</v>
      </c>
    </row>
    <row r="23" spans="1:9">
      <c r="A23" t="s">
        <v>201</v>
      </c>
      <c r="B23" t="s">
        <v>179</v>
      </c>
      <c r="C23">
        <f>(G23-F23)*1*$D$21</f>
        <v>1212500.0000000021</v>
      </c>
      <c r="E23" t="s">
        <v>192</v>
      </c>
      <c r="F23">
        <v>97.3</v>
      </c>
      <c r="G23">
        <v>102.15</v>
      </c>
      <c r="H23">
        <f>(G23-F23)/F23</f>
        <v>4.9845837615621877E-2</v>
      </c>
      <c r="I23" t="s">
        <v>198</v>
      </c>
    </row>
    <row r="24" spans="1:9">
      <c r="B24" t="s">
        <v>202</v>
      </c>
      <c r="C24">
        <f>C22+C23</f>
        <v>450000.00000000279</v>
      </c>
      <c r="E24" t="s">
        <v>193</v>
      </c>
      <c r="I24" t="s">
        <v>199</v>
      </c>
    </row>
    <row r="25" spans="1:9">
      <c r="I25" t="s">
        <v>207</v>
      </c>
    </row>
    <row r="26" spans="1:9">
      <c r="C26" t="s">
        <v>180</v>
      </c>
      <c r="D26">
        <v>250000</v>
      </c>
      <c r="F26" t="s">
        <v>189</v>
      </c>
      <c r="G26" t="s">
        <v>190</v>
      </c>
      <c r="H26" t="s">
        <v>196</v>
      </c>
    </row>
    <row r="27" spans="1:9">
      <c r="A27" t="s">
        <v>182</v>
      </c>
      <c r="B27" t="s">
        <v>178</v>
      </c>
      <c r="C27">
        <f>(F27-G27)*1*$D$21</f>
        <v>1212500.0000000021</v>
      </c>
      <c r="E27" t="s">
        <v>191</v>
      </c>
      <c r="F27">
        <v>102.15</v>
      </c>
      <c r="G27">
        <v>97.3</v>
      </c>
      <c r="H27">
        <f>(G27-F27)/F27</f>
        <v>-4.7479197258933022E-2</v>
      </c>
    </row>
    <row r="28" spans="1:9">
      <c r="A28" t="s">
        <v>201</v>
      </c>
      <c r="B28" t="s">
        <v>179</v>
      </c>
      <c r="C28">
        <f>(G28-F28)*1*$D$21</f>
        <v>-762499.9999999993</v>
      </c>
      <c r="E28" t="s">
        <v>192</v>
      </c>
      <c r="F28">
        <v>95.2</v>
      </c>
      <c r="G28">
        <v>92.15</v>
      </c>
      <c r="H28">
        <f>(G28-F28)/F28</f>
        <v>-3.203781512605039E-2</v>
      </c>
    </row>
    <row r="29" spans="1:9">
      <c r="B29" t="s">
        <v>202</v>
      </c>
      <c r="C29">
        <f>C27+C28</f>
        <v>450000.00000000279</v>
      </c>
      <c r="E29" t="s">
        <v>193</v>
      </c>
    </row>
    <row r="32" spans="1:9">
      <c r="B32" t="s">
        <v>181</v>
      </c>
      <c r="D32" t="s">
        <v>182</v>
      </c>
      <c r="E32" t="s">
        <v>183</v>
      </c>
      <c r="F32" t="s">
        <v>186</v>
      </c>
      <c r="G32" t="s">
        <v>187</v>
      </c>
    </row>
    <row r="33" spans="1:9">
      <c r="D33" t="s">
        <v>184</v>
      </c>
      <c r="E33" t="s">
        <v>183</v>
      </c>
      <c r="F33" t="s">
        <v>185</v>
      </c>
      <c r="G33" t="s">
        <v>188</v>
      </c>
    </row>
    <row r="35" spans="1:9">
      <c r="B35" t="s">
        <v>208</v>
      </c>
      <c r="D35" t="s">
        <v>184</v>
      </c>
      <c r="E35" t="s">
        <v>183</v>
      </c>
      <c r="F35" t="s">
        <v>186</v>
      </c>
      <c r="G35" t="s">
        <v>187</v>
      </c>
    </row>
    <row r="36" spans="1:9">
      <c r="D36" t="s">
        <v>182</v>
      </c>
      <c r="E36" t="s">
        <v>183</v>
      </c>
      <c r="F36" t="s">
        <v>185</v>
      </c>
      <c r="G36" t="s">
        <v>188</v>
      </c>
    </row>
    <row r="38" spans="1:9">
      <c r="B38" t="s">
        <v>195</v>
      </c>
    </row>
    <row r="40" spans="1:9">
      <c r="B40" t="s">
        <v>194</v>
      </c>
    </row>
    <row r="42" spans="1:9">
      <c r="C42" t="s">
        <v>200</v>
      </c>
      <c r="D42">
        <v>250000</v>
      </c>
      <c r="F42" t="s">
        <v>189</v>
      </c>
      <c r="G42" t="s">
        <v>190</v>
      </c>
      <c r="H42" t="s">
        <v>196</v>
      </c>
    </row>
    <row r="43" spans="1:9">
      <c r="A43" t="s">
        <v>201</v>
      </c>
      <c r="B43" t="s">
        <v>178</v>
      </c>
      <c r="C43">
        <f>(G43-F43)*1*D42</f>
        <v>1148323.4840698878</v>
      </c>
      <c r="F43">
        <v>92.15</v>
      </c>
      <c r="G43">
        <f>F43*(1+H43)</f>
        <v>96.743293936279557</v>
      </c>
      <c r="H43">
        <v>4.9845837615621877E-2</v>
      </c>
      <c r="I43" t="s">
        <v>203</v>
      </c>
    </row>
    <row r="44" spans="1:9">
      <c r="A44" t="s">
        <v>182</v>
      </c>
      <c r="B44" t="s">
        <v>179</v>
      </c>
      <c r="C44">
        <f>(F44-G44)*1*D42</f>
        <v>-805113.94465544936</v>
      </c>
      <c r="F44">
        <v>97.3</v>
      </c>
      <c r="G44">
        <f t="shared" ref="G44" si="0">F44*(1+H44)</f>
        <v>100.52045577862179</v>
      </c>
      <c r="H44">
        <v>3.3098209441128561E-2</v>
      </c>
      <c r="I44" t="s">
        <v>204</v>
      </c>
    </row>
    <row r="45" spans="1:9">
      <c r="B45" t="s">
        <v>202</v>
      </c>
      <c r="C45">
        <f>SUM(C43:C44)</f>
        <v>343209.53941443842</v>
      </c>
      <c r="I45" t="s">
        <v>205</v>
      </c>
    </row>
    <row r="46" spans="1:9">
      <c r="I46" t="s">
        <v>206</v>
      </c>
    </row>
    <row r="48" spans="1:9">
      <c r="C48" t="s">
        <v>200</v>
      </c>
      <c r="D48">
        <v>250000</v>
      </c>
      <c r="F48" t="s">
        <v>189</v>
      </c>
      <c r="G48" t="s">
        <v>190</v>
      </c>
      <c r="H48" t="s">
        <v>196</v>
      </c>
    </row>
    <row r="49" spans="1:8">
      <c r="A49" t="s">
        <v>201</v>
      </c>
      <c r="B49" t="s">
        <v>178</v>
      </c>
      <c r="C49">
        <f>(G49-F49)*1*D48</f>
        <v>-805113.94465544936</v>
      </c>
      <c r="F49">
        <v>100.52045577862179</v>
      </c>
      <c r="G49">
        <v>97.3</v>
      </c>
      <c r="H49">
        <f>(G49-F49)/F49</f>
        <v>-3.2037815126050279E-2</v>
      </c>
    </row>
    <row r="50" spans="1:8">
      <c r="A50" t="s">
        <v>182</v>
      </c>
      <c r="B50" t="s">
        <v>179</v>
      </c>
      <c r="C50">
        <f>(F50-G50)*1*D48</f>
        <v>1148323.4840698878</v>
      </c>
      <c r="F50">
        <v>96.743293936279557</v>
      </c>
      <c r="G50">
        <v>92.15</v>
      </c>
      <c r="H50">
        <f>(G50-F50)/F50</f>
        <v>-4.7479197258932966E-2</v>
      </c>
    </row>
    <row r="51" spans="1:8">
      <c r="B51" t="s">
        <v>202</v>
      </c>
      <c r="C51">
        <f>SUM(C49:C50)</f>
        <v>343209.53941443842</v>
      </c>
    </row>
    <row r="53" spans="1:8">
      <c r="A53" t="s">
        <v>209</v>
      </c>
      <c r="B53" t="s">
        <v>212</v>
      </c>
      <c r="C53">
        <v>100000000</v>
      </c>
    </row>
    <row r="54" spans="1:8">
      <c r="B54" t="s">
        <v>213</v>
      </c>
      <c r="C54">
        <v>99000000</v>
      </c>
    </row>
    <row r="55" spans="1:8">
      <c r="B55" t="s">
        <v>214</v>
      </c>
      <c r="C55">
        <v>97000000</v>
      </c>
    </row>
    <row r="56" spans="1:8">
      <c r="B56" t="s">
        <v>215</v>
      </c>
      <c r="C56">
        <v>7000000</v>
      </c>
    </row>
    <row r="57" spans="1:8">
      <c r="B57" t="s">
        <v>216</v>
      </c>
      <c r="C57" s="1">
        <v>0.08</v>
      </c>
    </row>
    <row r="59" spans="1:8">
      <c r="B59" t="s">
        <v>217</v>
      </c>
    </row>
    <row r="60" spans="1:8">
      <c r="B60" t="s">
        <v>218</v>
      </c>
    </row>
    <row r="62" spans="1:8">
      <c r="B62" t="s">
        <v>219</v>
      </c>
      <c r="C62">
        <f>C56/((1+C57)^0.25)</f>
        <v>6866605.5648929942</v>
      </c>
    </row>
    <row r="63" spans="1:8">
      <c r="B63" t="s">
        <v>220</v>
      </c>
      <c r="C63">
        <f>(C54-C62)*((1+C57)^0.5)</f>
        <v>95747832.141233414</v>
      </c>
    </row>
    <row r="65" spans="1:6">
      <c r="B65" t="s">
        <v>221</v>
      </c>
      <c r="E65" t="s">
        <v>222</v>
      </c>
    </row>
    <row r="66" spans="1:6">
      <c r="B66" t="s">
        <v>223</v>
      </c>
      <c r="C66">
        <f>C55-C63</f>
        <v>1252167.8587665856</v>
      </c>
    </row>
    <row r="67" spans="1:6">
      <c r="B67" t="s">
        <v>234</v>
      </c>
    </row>
    <row r="69" spans="1:6">
      <c r="A69" t="s">
        <v>224</v>
      </c>
      <c r="B69" t="s">
        <v>225</v>
      </c>
      <c r="D69">
        <v>60</v>
      </c>
      <c r="E69" t="s">
        <v>200</v>
      </c>
      <c r="F69">
        <v>250000</v>
      </c>
    </row>
    <row r="70" spans="1:6">
      <c r="B70" t="s">
        <v>226</v>
      </c>
      <c r="D70">
        <v>62</v>
      </c>
    </row>
    <row r="71" spans="1:6">
      <c r="B71" t="s">
        <v>229</v>
      </c>
      <c r="D71" s="1">
        <v>0.08</v>
      </c>
      <c r="E71" t="s">
        <v>232</v>
      </c>
    </row>
    <row r="72" spans="1:6">
      <c r="B72" t="s">
        <v>227</v>
      </c>
      <c r="D72" s="1">
        <v>0.03</v>
      </c>
    </row>
    <row r="73" spans="1:6">
      <c r="B73" t="s">
        <v>228</v>
      </c>
      <c r="D73">
        <v>73</v>
      </c>
    </row>
    <row r="75" spans="1:6">
      <c r="B75" t="s">
        <v>230</v>
      </c>
    </row>
    <row r="76" spans="1:6">
      <c r="B76" t="s">
        <v>231</v>
      </c>
      <c r="C76">
        <f>D69*((1+D71-D72)^(73/252))</f>
        <v>60.854040662791263</v>
      </c>
    </row>
    <row r="78" spans="1:6">
      <c r="B78" t="s">
        <v>221</v>
      </c>
      <c r="E78" t="s">
        <v>233</v>
      </c>
    </row>
    <row r="79" spans="1:6">
      <c r="B79" t="s">
        <v>223</v>
      </c>
      <c r="C79">
        <f>(D70-C76)*1*F69</f>
        <v>286489.83430218423</v>
      </c>
    </row>
    <row r="80" spans="1:6">
      <c r="B80" t="s">
        <v>234</v>
      </c>
    </row>
    <row r="82" spans="1:6">
      <c r="A82" t="s">
        <v>235</v>
      </c>
      <c r="B82" t="s">
        <v>225</v>
      </c>
      <c r="D82">
        <v>105</v>
      </c>
      <c r="E82" t="s">
        <v>200</v>
      </c>
      <c r="F82">
        <v>250000</v>
      </c>
    </row>
    <row r="83" spans="1:6">
      <c r="B83" t="s">
        <v>236</v>
      </c>
      <c r="D83">
        <v>107.75</v>
      </c>
    </row>
    <row r="84" spans="1:6">
      <c r="B84" t="s">
        <v>237</v>
      </c>
      <c r="D84" s="1">
        <v>0.06</v>
      </c>
    </row>
    <row r="85" spans="1:6">
      <c r="B85" t="s">
        <v>238</v>
      </c>
    </row>
    <row r="86" spans="1:6">
      <c r="B86" t="s">
        <v>240</v>
      </c>
    </row>
    <row r="88" spans="1:6">
      <c r="B88" t="s">
        <v>239</v>
      </c>
      <c r="D88">
        <v>97.25</v>
      </c>
    </row>
    <row r="89" spans="1:6">
      <c r="B89" t="s">
        <v>241</v>
      </c>
      <c r="D89">
        <v>98.05</v>
      </c>
    </row>
    <row r="91" spans="1:6">
      <c r="B91" t="s">
        <v>242</v>
      </c>
    </row>
    <row r="92" spans="1:6">
      <c r="B92" t="s">
        <v>220</v>
      </c>
      <c r="C92">
        <f>105*((1+6%-0)^(1/6))</f>
        <v>106.0246733888152</v>
      </c>
    </row>
    <row r="93" spans="1:6">
      <c r="B93" t="s">
        <v>243</v>
      </c>
      <c r="E93" t="s">
        <v>244</v>
      </c>
    </row>
    <row r="95" spans="1:6">
      <c r="B95" s="4" t="s">
        <v>18</v>
      </c>
      <c r="C95" s="4" t="s">
        <v>19</v>
      </c>
      <c r="D95" s="4" t="s">
        <v>247</v>
      </c>
    </row>
    <row r="96" spans="1:6">
      <c r="B96" s="4" t="s">
        <v>245</v>
      </c>
      <c r="C96" s="10">
        <v>0</v>
      </c>
      <c r="D96" s="10">
        <f>(D83-D89)*1*F82</f>
        <v>2425000.0000000009</v>
      </c>
    </row>
    <row r="97" spans="1:5">
      <c r="B97" s="4" t="s">
        <v>246</v>
      </c>
      <c r="C97" s="10">
        <f>-D82*1*F82</f>
        <v>-26250000</v>
      </c>
      <c r="D97" s="10">
        <f>D88*1*F82</f>
        <v>24312500</v>
      </c>
      <c r="E97" s="11">
        <f>D97+C97</f>
        <v>-1937500</v>
      </c>
    </row>
    <row r="98" spans="1:5">
      <c r="B98" s="4" t="s">
        <v>94</v>
      </c>
      <c r="C98" s="10">
        <f>D82*1*F82</f>
        <v>26250000</v>
      </c>
      <c r="D98" s="10">
        <f>-C98*((1+D84)^(1/12))</f>
        <v>-26377773.202340256</v>
      </c>
      <c r="E98" s="11">
        <f>D98+C98</f>
        <v>-127773.20234025642</v>
      </c>
    </row>
    <row r="99" spans="1:5">
      <c r="B99" s="4" t="s">
        <v>95</v>
      </c>
      <c r="C99" s="10"/>
      <c r="D99" s="10">
        <f>SUM(D96:D98)</f>
        <v>359726.79765974358</v>
      </c>
    </row>
    <row r="102" spans="1:5">
      <c r="A102" t="s">
        <v>248</v>
      </c>
      <c r="B102" t="s">
        <v>250</v>
      </c>
      <c r="D102">
        <v>2600</v>
      </c>
    </row>
    <row r="103" spans="1:5">
      <c r="B103" t="s">
        <v>249</v>
      </c>
      <c r="D103">
        <v>3250</v>
      </c>
    </row>
    <row r="104" spans="1:5">
      <c r="B104" t="s">
        <v>251</v>
      </c>
      <c r="D104">
        <v>0.9</v>
      </c>
    </row>
    <row r="106" spans="1:5">
      <c r="B106" t="s">
        <v>252</v>
      </c>
    </row>
    <row r="107" spans="1:5">
      <c r="B107" t="s">
        <v>253</v>
      </c>
      <c r="C107">
        <f>(D102/D103)*D104</f>
        <v>0.72000000000000008</v>
      </c>
    </row>
    <row r="109" spans="1:5">
      <c r="A109" t="s">
        <v>254</v>
      </c>
      <c r="B109" t="s">
        <v>255</v>
      </c>
    </row>
    <row r="110" spans="1:5">
      <c r="B110" t="s">
        <v>256</v>
      </c>
    </row>
    <row r="112" spans="1:5">
      <c r="B112" t="s">
        <v>257</v>
      </c>
      <c r="C112">
        <v>0.92</v>
      </c>
    </row>
    <row r="113" spans="1:8">
      <c r="B113" t="s">
        <v>258</v>
      </c>
      <c r="C113">
        <f>100*0.92</f>
        <v>92</v>
      </c>
    </row>
    <row r="114" spans="1:8">
      <c r="B114" t="s">
        <v>259</v>
      </c>
    </row>
    <row r="116" spans="1:8">
      <c r="A116" t="s">
        <v>260</v>
      </c>
      <c r="B116" t="s">
        <v>189</v>
      </c>
      <c r="D116" t="s">
        <v>263</v>
      </c>
      <c r="E116" t="s">
        <v>262</v>
      </c>
      <c r="F116" t="s">
        <v>265</v>
      </c>
    </row>
    <row r="117" spans="1:8">
      <c r="A117" t="s">
        <v>182</v>
      </c>
      <c r="B117" t="s">
        <v>261</v>
      </c>
      <c r="D117">
        <v>110.5</v>
      </c>
      <c r="E117">
        <v>10</v>
      </c>
      <c r="F117">
        <f>E117*D117*$F$126</f>
        <v>276250000</v>
      </c>
    </row>
    <row r="118" spans="1:8">
      <c r="A118" t="s">
        <v>184</v>
      </c>
      <c r="B118" t="s">
        <v>264</v>
      </c>
      <c r="D118">
        <v>111.25</v>
      </c>
      <c r="E118">
        <v>10</v>
      </c>
      <c r="F118">
        <f>E118*D118*$F$126</f>
        <v>278125000</v>
      </c>
    </row>
    <row r="120" spans="1:8">
      <c r="B120" t="s">
        <v>181</v>
      </c>
      <c r="D120" t="s">
        <v>268</v>
      </c>
    </row>
    <row r="122" spans="1:8">
      <c r="B122" t="s">
        <v>190</v>
      </c>
      <c r="D122" t="s">
        <v>263</v>
      </c>
      <c r="E122" t="s">
        <v>262</v>
      </c>
      <c r="F122" t="s">
        <v>265</v>
      </c>
      <c r="G122" t="s">
        <v>266</v>
      </c>
    </row>
    <row r="123" spans="1:8">
      <c r="B123" t="s">
        <v>261</v>
      </c>
      <c r="D123">
        <v>105.25</v>
      </c>
      <c r="E123">
        <v>10</v>
      </c>
      <c r="F123">
        <f>E123*D123*$F$126</f>
        <v>263125000</v>
      </c>
      <c r="G123">
        <f>(D123-D117)/D117</f>
        <v>-4.7511312217194568E-2</v>
      </c>
      <c r="H123" t="s">
        <v>269</v>
      </c>
    </row>
    <row r="124" spans="1:8">
      <c r="B124" t="s">
        <v>264</v>
      </c>
      <c r="D124">
        <v>105.75</v>
      </c>
      <c r="E124">
        <v>10</v>
      </c>
      <c r="F124">
        <f>E124*D124*$F$126</f>
        <v>264375000</v>
      </c>
      <c r="G124">
        <f>(D124-D118)/D118</f>
        <v>-4.9438202247191011E-2</v>
      </c>
    </row>
    <row r="126" spans="1:8">
      <c r="B126" t="s">
        <v>267</v>
      </c>
      <c r="D126">
        <f>SUM(D127:D128)</f>
        <v>-625000</v>
      </c>
      <c r="E126" t="s">
        <v>200</v>
      </c>
      <c r="F126">
        <v>250000</v>
      </c>
    </row>
    <row r="127" spans="1:8">
      <c r="B127" t="s">
        <v>261</v>
      </c>
      <c r="D127">
        <f>(D117-D123)*10*F126</f>
        <v>13125000</v>
      </c>
    </row>
    <row r="128" spans="1:8">
      <c r="B128" t="s">
        <v>264</v>
      </c>
      <c r="D128">
        <f>(D124-D118)*10*F126</f>
        <v>-13750000</v>
      </c>
    </row>
    <row r="130" spans="1:8">
      <c r="A130" t="s">
        <v>270</v>
      </c>
      <c r="B130" t="s">
        <v>281</v>
      </c>
    </row>
    <row r="131" spans="1:8">
      <c r="B131" t="s">
        <v>271</v>
      </c>
      <c r="C131" t="s">
        <v>276</v>
      </c>
      <c r="D131" t="s">
        <v>277</v>
      </c>
      <c r="E131" t="s">
        <v>265</v>
      </c>
      <c r="F131" t="s">
        <v>284</v>
      </c>
      <c r="G131" s="12" t="s">
        <v>278</v>
      </c>
      <c r="H131" s="3" t="s">
        <v>282</v>
      </c>
    </row>
    <row r="132" spans="1:8">
      <c r="B132" t="s">
        <v>272</v>
      </c>
      <c r="C132">
        <v>20000</v>
      </c>
      <c r="D132">
        <v>1000</v>
      </c>
      <c r="E132">
        <f>D132*C132</f>
        <v>20000000</v>
      </c>
      <c r="F132">
        <f>E132/$E$136</f>
        <v>0.1</v>
      </c>
      <c r="G132">
        <v>1.8</v>
      </c>
    </row>
    <row r="133" spans="1:8">
      <c r="B133" t="s">
        <v>273</v>
      </c>
      <c r="C133">
        <v>40000</v>
      </c>
      <c r="D133">
        <v>2000</v>
      </c>
      <c r="E133">
        <f t="shared" ref="E133:E135" si="1">D133*C133</f>
        <v>80000000</v>
      </c>
      <c r="F133">
        <f t="shared" ref="F133:F135" si="2">E133/$E$136</f>
        <v>0.4</v>
      </c>
      <c r="G133">
        <v>1.2</v>
      </c>
    </row>
    <row r="134" spans="1:8">
      <c r="B134" t="s">
        <v>274</v>
      </c>
      <c r="C134">
        <v>30000</v>
      </c>
      <c r="D134">
        <v>2000</v>
      </c>
      <c r="E134">
        <f t="shared" si="1"/>
        <v>60000000</v>
      </c>
      <c r="F134">
        <f t="shared" si="2"/>
        <v>0.3</v>
      </c>
      <c r="G134">
        <v>0.8</v>
      </c>
    </row>
    <row r="135" spans="1:8">
      <c r="B135" t="s">
        <v>275</v>
      </c>
      <c r="C135">
        <v>10000</v>
      </c>
      <c r="D135">
        <v>4000</v>
      </c>
      <c r="E135">
        <f t="shared" si="1"/>
        <v>40000000</v>
      </c>
      <c r="F135">
        <f t="shared" si="2"/>
        <v>0.2</v>
      </c>
      <c r="G135">
        <v>1.5</v>
      </c>
    </row>
    <row r="136" spans="1:8">
      <c r="D136">
        <f>SUM(D132:D135)</f>
        <v>9000</v>
      </c>
      <c r="E136">
        <f>SUM(E132:E135)</f>
        <v>200000000</v>
      </c>
    </row>
    <row r="137" spans="1:8">
      <c r="B137" t="s">
        <v>279</v>
      </c>
      <c r="D137">
        <v>160</v>
      </c>
      <c r="E137" t="s">
        <v>200</v>
      </c>
      <c r="F137">
        <v>250000</v>
      </c>
    </row>
    <row r="139" spans="1:8">
      <c r="B139" t="s">
        <v>280</v>
      </c>
    </row>
    <row r="141" spans="1:8">
      <c r="B141" t="s">
        <v>283</v>
      </c>
      <c r="C141">
        <f>G132*F132+G133*F133+G134*F134+G135*F135</f>
        <v>1.2000000000000002</v>
      </c>
      <c r="E141" s="14" t="s">
        <v>300</v>
      </c>
    </row>
    <row r="142" spans="1:8">
      <c r="B142" t="s">
        <v>285</v>
      </c>
      <c r="C142">
        <v>200000000</v>
      </c>
    </row>
    <row r="143" spans="1:8">
      <c r="B143" t="s">
        <v>286</v>
      </c>
      <c r="C143">
        <f>D137*F137</f>
        <v>40000000</v>
      </c>
    </row>
    <row r="144" spans="1:8">
      <c r="B144" t="s">
        <v>287</v>
      </c>
      <c r="C144">
        <f>(C142/C143)*C141</f>
        <v>6.0000000000000009</v>
      </c>
    </row>
    <row r="146" spans="1:6">
      <c r="B146" t="s">
        <v>298</v>
      </c>
      <c r="C146" s="3" t="s">
        <v>289</v>
      </c>
    </row>
    <row r="148" spans="1:6">
      <c r="A148" t="s">
        <v>288</v>
      </c>
      <c r="B148" t="s">
        <v>290</v>
      </c>
      <c r="D148">
        <v>12000000000</v>
      </c>
      <c r="E148" t="s">
        <v>200</v>
      </c>
      <c r="F148">
        <v>250000</v>
      </c>
    </row>
    <row r="149" spans="1:6">
      <c r="B149" s="13" t="s">
        <v>291</v>
      </c>
      <c r="D149">
        <v>1.2</v>
      </c>
    </row>
    <row r="150" spans="1:6">
      <c r="B150" s="13" t="s">
        <v>292</v>
      </c>
      <c r="D150">
        <v>0.5</v>
      </c>
    </row>
    <row r="151" spans="1:6">
      <c r="B151" s="13" t="s">
        <v>293</v>
      </c>
      <c r="D151">
        <v>120</v>
      </c>
    </row>
    <row r="153" spans="1:6">
      <c r="B153" t="s">
        <v>294</v>
      </c>
      <c r="C153" t="s">
        <v>297</v>
      </c>
    </row>
    <row r="154" spans="1:6">
      <c r="B154" t="s">
        <v>295</v>
      </c>
      <c r="C154">
        <f>(D149-D150)*D148/(D151*F148)</f>
        <v>279.99999999999994</v>
      </c>
    </row>
    <row r="155" spans="1:6">
      <c r="B155" t="s">
        <v>298</v>
      </c>
    </row>
    <row r="157" spans="1:6">
      <c r="B157" t="s">
        <v>296</v>
      </c>
    </row>
    <row r="159" spans="1:6">
      <c r="B159" t="s">
        <v>294</v>
      </c>
      <c r="C159" t="s">
        <v>299</v>
      </c>
    </row>
    <row r="160" spans="1:6">
      <c r="B160" t="s">
        <v>295</v>
      </c>
      <c r="C160">
        <f>(D149-2)*D148/(D151*F148)</f>
        <v>-320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4주차 1차시</vt:lpstr>
      <vt:lpstr>4주차 2차시</vt:lpstr>
      <vt:lpstr>4주차 3차시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재환 김</dc:creator>
  <cp:lastModifiedBy>재환 김</cp:lastModifiedBy>
  <dcterms:created xsi:type="dcterms:W3CDTF">2024-03-24T19:39:24Z</dcterms:created>
  <dcterms:modified xsi:type="dcterms:W3CDTF">2024-03-26T22:23:15Z</dcterms:modified>
</cp:coreProperties>
</file>