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e1c7ab116142a6/문서/"/>
    </mc:Choice>
  </mc:AlternateContent>
  <xr:revisionPtr revIDLastSave="498" documentId="13_ncr:1_{3F2D8C3A-B8C3-4352-B1F7-912853A9EFA1}" xr6:coauthVersionLast="47" xr6:coauthVersionMax="47" xr10:uidLastSave="{49252263-69AA-40D5-9924-ED09247232D0}"/>
  <bookViews>
    <workbookView xWindow="60" yWindow="0" windowWidth="12825" windowHeight="15600" activeTab="2" xr2:uid="{0FC5108C-DE58-456E-8B76-C0950D24B865}"/>
  </bookViews>
  <sheets>
    <sheet name="5주차 1교시" sheetId="1" r:id="rId1"/>
    <sheet name="5주차 2교시" sheetId="2" r:id="rId2"/>
    <sheet name="5주차 3교시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0" i="3" l="1"/>
  <c r="E123" i="3"/>
  <c r="E121" i="3"/>
  <c r="D121" i="3"/>
  <c r="C110" i="3"/>
  <c r="D102" i="3"/>
  <c r="D100" i="3"/>
  <c r="D92" i="3"/>
  <c r="E84" i="3"/>
  <c r="D84" i="3"/>
  <c r="E83" i="3"/>
  <c r="C73" i="3"/>
  <c r="C53" i="3"/>
  <c r="D57" i="3" s="1"/>
  <c r="D58" i="3" s="1"/>
  <c r="H94" i="2"/>
  <c r="H93" i="2"/>
  <c r="H92" i="2"/>
  <c r="H91" i="2"/>
  <c r="H90" i="2"/>
  <c r="G93" i="2"/>
  <c r="G92" i="2"/>
  <c r="G91" i="2"/>
  <c r="G90" i="2"/>
  <c r="F93" i="2"/>
  <c r="F92" i="2"/>
  <c r="F91" i="2"/>
  <c r="F90" i="2"/>
  <c r="E93" i="2"/>
  <c r="E92" i="2"/>
  <c r="E91" i="2"/>
  <c r="E90" i="2"/>
  <c r="D79" i="2" l="1"/>
  <c r="F77" i="2"/>
  <c r="F76" i="2"/>
  <c r="F75" i="2"/>
  <c r="F74" i="2"/>
  <c r="F73" i="2"/>
  <c r="D77" i="2"/>
  <c r="D74" i="2"/>
  <c r="D75" i="2"/>
  <c r="D76" i="2"/>
  <c r="D73" i="2"/>
  <c r="D41" i="2"/>
  <c r="G58" i="2"/>
  <c r="G57" i="2"/>
  <c r="G56" i="2"/>
  <c r="G55" i="2"/>
  <c r="E56" i="2"/>
  <c r="E57" i="2"/>
  <c r="E55" i="2"/>
  <c r="D57" i="2"/>
  <c r="D56" i="2"/>
  <c r="C13" i="2"/>
  <c r="E62" i="2"/>
  <c r="E61" i="2"/>
  <c r="D62" i="2"/>
  <c r="D61" i="2"/>
  <c r="D55" i="2"/>
  <c r="F57" i="2"/>
  <c r="B57" i="2"/>
  <c r="B56" i="2"/>
  <c r="F56" i="2" s="1"/>
  <c r="B55" i="2"/>
  <c r="F55" i="2" s="1"/>
  <c r="F44" i="2"/>
  <c r="G41" i="2"/>
  <c r="G44" i="2" s="1"/>
  <c r="E43" i="2"/>
  <c r="E42" i="2"/>
  <c r="F42" i="2" s="1"/>
  <c r="F43" i="2"/>
  <c r="F41" i="2"/>
  <c r="E41" i="2"/>
  <c r="B43" i="2"/>
  <c r="B42" i="2"/>
  <c r="B41" i="2"/>
  <c r="B13" i="2"/>
  <c r="D126" i="1"/>
  <c r="C126" i="1"/>
  <c r="D105" i="1"/>
  <c r="C105" i="1"/>
  <c r="C104" i="1"/>
  <c r="C103" i="1"/>
  <c r="C102" i="1"/>
  <c r="D104" i="1"/>
  <c r="D103" i="1"/>
  <c r="D102" i="1"/>
  <c r="D101" i="1"/>
  <c r="D106" i="1" s="1"/>
  <c r="C101" i="1"/>
  <c r="C106" i="1" s="1"/>
  <c r="C75" i="1"/>
  <c r="E39" i="1"/>
  <c r="E38" i="1"/>
  <c r="E37" i="1"/>
  <c r="E36" i="1"/>
  <c r="E35" i="1"/>
  <c r="E34" i="1"/>
  <c r="D39" i="1"/>
  <c r="D38" i="1"/>
  <c r="D37" i="1"/>
  <c r="D36" i="1"/>
  <c r="D35" i="1"/>
  <c r="D34" i="1"/>
  <c r="D46" i="2" l="1"/>
  <c r="D45" i="2"/>
  <c r="F35" i="1"/>
  <c r="F38" i="1"/>
  <c r="F39" i="1"/>
  <c r="F37" i="1"/>
  <c r="F34" i="1"/>
  <c r="F36" i="1"/>
</calcChain>
</file>

<file path=xl/sharedStrings.xml><?xml version="1.0" encoding="utf-8"?>
<sst xmlns="http://schemas.openxmlformats.org/spreadsheetml/2006/main" count="326" uniqueCount="251">
  <si>
    <t>basic concept of swaps</t>
    <phoneticPr fontId="1" type="noConversion"/>
  </si>
  <si>
    <t xml:space="preserve">정의 </t>
    <phoneticPr fontId="1" type="noConversion"/>
  </si>
  <si>
    <t>사전적 정의: 교환하다 / 바꾸다  // swap A for B</t>
    <phoneticPr fontId="1" type="noConversion"/>
  </si>
  <si>
    <t>미래에 발생할 현금흐름들을 사전에 정해진 규칙에 따라 교환하기로 합의한 계약</t>
    <phoneticPr fontId="1" type="noConversion"/>
  </si>
  <si>
    <t>종류</t>
    <phoneticPr fontId="1" type="noConversion"/>
  </si>
  <si>
    <t>이자율 스왑(금리 스왑 : interest rate swap:IRS)</t>
    <phoneticPr fontId="1" type="noConversion"/>
  </si>
  <si>
    <t>- 동일한 통화 표시의 현금흐름을 교환</t>
    <phoneticPr fontId="1" type="noConversion"/>
  </si>
  <si>
    <t>- 원금은 교환하지 않음</t>
    <phoneticPr fontId="1" type="noConversion"/>
  </si>
  <si>
    <t>- 원화 변동금리이자 vs 원화 고정금리이자</t>
    <phoneticPr fontId="1" type="noConversion"/>
  </si>
  <si>
    <t>통화스왑 ( Currency swap: CRS)</t>
    <phoneticPr fontId="1" type="noConversion"/>
  </si>
  <si>
    <t>- 서로 다른 통화표시의 현금흐름을 교환</t>
    <phoneticPr fontId="1" type="noConversion"/>
  </si>
  <si>
    <t>- 원금까지도 함께 교환함</t>
    <phoneticPr fontId="1" type="noConversion"/>
  </si>
  <si>
    <t>- 원화 고정금리이자 vs 달러화 고정금리이자</t>
    <phoneticPr fontId="1" type="noConversion"/>
  </si>
  <si>
    <t>거래의 체결</t>
    <phoneticPr fontId="1" type="noConversion"/>
  </si>
  <si>
    <t>- 대부분 장외에서 이루어짐</t>
    <phoneticPr fontId="1" type="noConversion"/>
  </si>
  <si>
    <t>- 양자간 거래</t>
    <phoneticPr fontId="1" type="noConversion"/>
  </si>
  <si>
    <t>Microsoft와 Intel의 3년 만기 이자율 스왑</t>
    <phoneticPr fontId="1" type="noConversion"/>
  </si>
  <si>
    <t>- 원금 1억 달러</t>
    <phoneticPr fontId="1" type="noConversion"/>
  </si>
  <si>
    <t>- MS의 지급 현금흐름: 연간 5%</t>
    <phoneticPr fontId="1" type="noConversion"/>
  </si>
  <si>
    <t>- Intel 의 지금 현금흐름: 6개월 USD LIBOR</t>
    <phoneticPr fontId="1" type="noConversion"/>
  </si>
  <si>
    <t>- 이자지급주기: 매 6개월 마다</t>
    <phoneticPr fontId="1" type="noConversion"/>
  </si>
  <si>
    <t>- MS의 현금흐름</t>
    <phoneticPr fontId="1" type="noConversion"/>
  </si>
  <si>
    <t>date</t>
    <phoneticPr fontId="1" type="noConversion"/>
  </si>
  <si>
    <t>LIBOR Rate</t>
    <phoneticPr fontId="1" type="noConversion"/>
  </si>
  <si>
    <t>Floating Cash FLow</t>
    <phoneticPr fontId="1" type="noConversion"/>
  </si>
  <si>
    <t>Millons of Dollars</t>
    <phoneticPr fontId="1" type="noConversion"/>
  </si>
  <si>
    <t>Fixed Cash Flow</t>
    <phoneticPr fontId="1" type="noConversion"/>
  </si>
  <si>
    <t>Net Cash Flow</t>
    <phoneticPr fontId="1" type="noConversion"/>
  </si>
  <si>
    <t>Sep-5-2020</t>
    <phoneticPr fontId="1" type="noConversion"/>
  </si>
  <si>
    <t>Mar-5-2020</t>
    <phoneticPr fontId="1" type="noConversion"/>
  </si>
  <si>
    <t>Sep-5-2021</t>
    <phoneticPr fontId="1" type="noConversion"/>
  </si>
  <si>
    <t>Mar-5-2021</t>
    <phoneticPr fontId="1" type="noConversion"/>
  </si>
  <si>
    <t>Mar-5-2022</t>
    <phoneticPr fontId="1" type="noConversion"/>
  </si>
  <si>
    <t>Sep-5-2022</t>
    <phoneticPr fontId="1" type="noConversion"/>
  </si>
  <si>
    <t>Mar-5-2023</t>
    <phoneticPr fontId="1" type="noConversion"/>
  </si>
  <si>
    <t>부채의 변형(Transform a Liability)</t>
    <phoneticPr fontId="1" type="noConversion"/>
  </si>
  <si>
    <t>차입금리 LIBOR + 10bps</t>
    <phoneticPr fontId="1" type="noConversion"/>
  </si>
  <si>
    <t>1bp = 0.01%</t>
    <phoneticPr fontId="1" type="noConversion"/>
  </si>
  <si>
    <t>10bp = 0.1%</t>
    <phoneticPr fontId="1" type="noConversion"/>
  </si>
  <si>
    <t>100bp = 1%</t>
    <phoneticPr fontId="1" type="noConversion"/>
  </si>
  <si>
    <t>MS의 경우 변동금리 부채를 고정금리 부채로 전환할 수 있음</t>
    <phoneticPr fontId="1" type="noConversion"/>
  </si>
  <si>
    <t>전환된 차입금리는 각각 5.1% 의 고정금리로 , LIBOR + 20bp의 변동금리로 전환됨</t>
    <phoneticPr fontId="1" type="noConversion"/>
  </si>
  <si>
    <t>자산의 변형(Transform an Asset)</t>
    <phoneticPr fontId="1" type="noConversion"/>
  </si>
  <si>
    <t>MS의 경우 고정금리 자산을 변동금리 자산으로 전환할 수 있다.</t>
    <phoneticPr fontId="1" type="noConversion"/>
  </si>
  <si>
    <t>Intel의 경우 변동금리 자산을 고정금리 자산으로 전환할 수 있다.</t>
    <phoneticPr fontId="1" type="noConversion"/>
  </si>
  <si>
    <t>전환된 투자수익률은 각각 LIBOR - 30bps 의 변동수익률, 4.8%의 고정수익률 로 전환된다.</t>
    <phoneticPr fontId="1" type="noConversion"/>
  </si>
  <si>
    <t>금융기관의 역할</t>
    <phoneticPr fontId="1" type="noConversion"/>
  </si>
  <si>
    <t>- 시장 조성자(Maket maker) 혹은 유동성 공급자(liquidity provider)의 역할을 담당</t>
    <phoneticPr fontId="1" type="noConversion"/>
  </si>
  <si>
    <t>- 스왑 거래의 매수 / 매도 호가를 제시</t>
    <phoneticPr fontId="1" type="noConversion"/>
  </si>
  <si>
    <t>MS의 차입금리</t>
    <phoneticPr fontId="1" type="noConversion"/>
  </si>
  <si>
    <t>Intel 의 차입금리</t>
    <phoneticPr fontId="1" type="noConversion"/>
  </si>
  <si>
    <t>LIBOR + 22bps</t>
    <phoneticPr fontId="1" type="noConversion"/>
  </si>
  <si>
    <t>FI의 margin</t>
    <phoneticPr fontId="1" type="noConversion"/>
  </si>
  <si>
    <t>4bps</t>
    <phoneticPr fontId="1" type="noConversion"/>
  </si>
  <si>
    <t>FI의 위험</t>
    <phoneticPr fontId="1" type="noConversion"/>
  </si>
  <si>
    <t>- swap book을 운용하여야 함</t>
    <phoneticPr fontId="1" type="noConversion"/>
  </si>
  <si>
    <t>→ 헷지를 한다</t>
    <phoneticPr fontId="1" type="noConversion"/>
  </si>
  <si>
    <t>예제</t>
    <phoneticPr fontId="1" type="noConversion"/>
  </si>
  <si>
    <t>기업</t>
    <phoneticPr fontId="1" type="noConversion"/>
  </si>
  <si>
    <t>고정금리</t>
    <phoneticPr fontId="1" type="noConversion"/>
  </si>
  <si>
    <t>변동금리</t>
    <phoneticPr fontId="1" type="noConversion"/>
  </si>
  <si>
    <t>Comparative Advantage Arguments(비교우위)</t>
    <phoneticPr fontId="1" type="noConversion"/>
  </si>
  <si>
    <t>AAA</t>
    <phoneticPr fontId="1" type="noConversion"/>
  </si>
  <si>
    <t>BBB</t>
    <phoneticPr fontId="1" type="noConversion"/>
  </si>
  <si>
    <t>6m LIBOR + 0.3%</t>
    <phoneticPr fontId="1" type="noConversion"/>
  </si>
  <si>
    <t>6m LIBOR + 1.0%</t>
    <phoneticPr fontId="1" type="noConversion"/>
  </si>
  <si>
    <t>0.7%</t>
    <phoneticPr fontId="1" type="noConversion"/>
  </si>
  <si>
    <t>→ AAA의 비교우위 : 고정금리, BBB의 비교우위 : 변동금리</t>
    <phoneticPr fontId="1" type="noConversion"/>
  </si>
  <si>
    <t>결과비교</t>
    <phoneticPr fontId="1" type="noConversion"/>
  </si>
  <si>
    <t>(1) AAA : LIBOR + 0.05% , BBB : 10.95%</t>
    <phoneticPr fontId="1" type="noConversion"/>
  </si>
  <si>
    <t>→ AAA 기업은 25bp, BBB 기업 또한 25bp의 이득을 얻는다</t>
    <phoneticPr fontId="1" type="noConversion"/>
  </si>
  <si>
    <t>(2) AAA : LIBOR + 0.07% , BBB : 10.97%</t>
    <phoneticPr fontId="1" type="noConversion"/>
  </si>
  <si>
    <t>→ AAA 기업은 23bp, BBB 기업은 23bp의 이득을 얻는다.</t>
    <phoneticPr fontId="1" type="noConversion"/>
  </si>
  <si>
    <t>- 비교우위 논리의 한계점</t>
    <phoneticPr fontId="1" type="noConversion"/>
  </si>
  <si>
    <t xml:space="preserve">   : 고정금리는 비교적 장기인데 반해, 변동금리는 대개 단기에 적용되는 금리이다.</t>
    <phoneticPr fontId="1" type="noConversion"/>
  </si>
  <si>
    <t>IBM과 British Petrolem간의 5년 만기 통화 스왑</t>
    <phoneticPr fontId="1" type="noConversion"/>
  </si>
  <si>
    <t>- 원금은 각각 $15M, ￡10M</t>
    <phoneticPr fontId="1" type="noConversion"/>
  </si>
  <si>
    <t>-IBM의 지급 현금흐름: 파운드 화로 연 11%</t>
    <phoneticPr fontId="1" type="noConversion"/>
  </si>
  <si>
    <t>- British Petroleum의 지급 현금흐름: 달러화로 연 8%</t>
    <phoneticPr fontId="1" type="noConversion"/>
  </si>
  <si>
    <t>- 이자지급주기: 연 1회</t>
    <phoneticPr fontId="1" type="noConversion"/>
  </si>
  <si>
    <t>- IBM의 현금흐름</t>
    <phoneticPr fontId="1" type="noConversion"/>
  </si>
  <si>
    <t>Year</t>
    <phoneticPr fontId="1" type="noConversion"/>
  </si>
  <si>
    <t>Dollars</t>
    <phoneticPr fontId="1" type="noConversion"/>
  </si>
  <si>
    <t>Pounds</t>
    <phoneticPr fontId="1" type="noConversion"/>
  </si>
  <si>
    <t>Millions</t>
    <phoneticPr fontId="1" type="noConversion"/>
  </si>
  <si>
    <t>Example of CRS</t>
    <phoneticPr fontId="1" type="noConversion"/>
  </si>
  <si>
    <t>diff</t>
    <phoneticPr fontId="1" type="noConversion"/>
  </si>
  <si>
    <t>Typical Uses of CRS</t>
    <phoneticPr fontId="1" type="noConversion"/>
  </si>
  <si>
    <t>IBM의 경우 달러부채를 파운드화 부채로 전환할 수 있음</t>
    <phoneticPr fontId="1" type="noConversion"/>
  </si>
  <si>
    <t>British Petroleum의 경우 파운드화 부채를 달러화 부채로 전환 할 수 있음</t>
    <phoneticPr fontId="1" type="noConversion"/>
  </si>
  <si>
    <t>전환된 차입금리는 각각 ￡11% , $8% 이다</t>
    <phoneticPr fontId="1" type="noConversion"/>
  </si>
  <si>
    <t>IBM의 경우 파운드화 자산을 달러자산으로 전환할 수 있음</t>
    <phoneticPr fontId="1" type="noConversion"/>
  </si>
  <si>
    <t>Intel의 경우 고정금리 부채를 변동금리 부채로 전환할 수 있음</t>
    <phoneticPr fontId="1" type="noConversion"/>
  </si>
  <si>
    <t>British Petroleum의 경우 달러자산을 파운드화자산으로 전환할 수 있음</t>
    <phoneticPr fontId="1" type="noConversion"/>
  </si>
  <si>
    <t>전환된 수익률은 각각 $8%, ￡11% 이다.</t>
    <phoneticPr fontId="1" type="noConversion"/>
  </si>
  <si>
    <t>계</t>
    <phoneticPr fontId="1" type="noConversion"/>
  </si>
  <si>
    <t>USD</t>
    <phoneticPr fontId="1" type="noConversion"/>
  </si>
  <si>
    <t>AUD</t>
    <phoneticPr fontId="1" type="noConversion"/>
  </si>
  <si>
    <t>GM</t>
    <phoneticPr fontId="1" type="noConversion"/>
  </si>
  <si>
    <t>Quantas Airways</t>
    <phoneticPr fontId="1" type="noConversion"/>
  </si>
  <si>
    <t xml:space="preserve">GM의 비교우위: </t>
    <phoneticPr fontId="1" type="noConversion"/>
  </si>
  <si>
    <t>Quantas Airways의 비교우위:</t>
    <phoneticPr fontId="1" type="noConversion"/>
  </si>
  <si>
    <t>AUD 11.9%</t>
    <phoneticPr fontId="1" type="noConversion"/>
  </si>
  <si>
    <t>Quantas Airway</t>
    <phoneticPr fontId="1" type="noConversion"/>
  </si>
  <si>
    <t>USD 6.3%</t>
    <phoneticPr fontId="1" type="noConversion"/>
  </si>
  <si>
    <t>USD 0.7% 이득</t>
    <phoneticPr fontId="1" type="noConversion"/>
  </si>
  <si>
    <t>AUD 0.7% 이득</t>
    <phoneticPr fontId="1" type="noConversion"/>
  </si>
  <si>
    <t>FI</t>
    <phoneticPr fontId="1" type="noConversion"/>
  </si>
  <si>
    <t>+USD 1.3% -AUD 1.1%</t>
    <phoneticPr fontId="1" type="noConversion"/>
  </si>
  <si>
    <t>→ 모두 이익</t>
    <phoneticPr fontId="1" type="noConversion"/>
  </si>
  <si>
    <t>→ 금융기관이 USD에서는 이익이지만 AUD에서는 손해를 감수하여 모두에게 이득이 되는 구조를 만듬</t>
    <phoneticPr fontId="1" type="noConversion"/>
  </si>
  <si>
    <t>* 달러 환율이 호주달러 보다 더 크다면 금융기관 이익</t>
    <phoneticPr fontId="1" type="noConversion"/>
  </si>
  <si>
    <t>계약 당시의 이자율 스왑(IRS)의 가치는 0</t>
    <phoneticPr fontId="1" type="noConversion"/>
  </si>
  <si>
    <t>Valuation of an Interest Rate Swap</t>
    <phoneticPr fontId="1" type="noConversion"/>
  </si>
  <si>
    <t>- 이자율 스왑의 가치는 고정 금리 채권과 변동 금리 채권의 차이로 정의 할 수 있다.</t>
    <phoneticPr fontId="1" type="noConversion"/>
  </si>
  <si>
    <t>=&gt; 채권을 이용한 가치 결정</t>
    <phoneticPr fontId="1" type="noConversion"/>
  </si>
  <si>
    <t>- 또는 이자율 스왑의 가치는 선도 금리 계약의 포트폴리오로 정의할 수 있다.</t>
    <phoneticPr fontId="1" type="noConversion"/>
  </si>
  <si>
    <t>=&gt; 선도금리계약을 이용한 가치 결정</t>
    <phoneticPr fontId="1" type="noConversion"/>
  </si>
  <si>
    <t>선도금리 = farward rate</t>
    <phoneticPr fontId="1" type="noConversion"/>
  </si>
  <si>
    <t>고정금리 채권의 가치는 일반적인 채권 가치 계산 방식으로 계산</t>
    <phoneticPr fontId="1" type="noConversion"/>
  </si>
  <si>
    <t>- 미래에 받을 이표와 원금의 현재가치의 합</t>
    <phoneticPr fontId="1" type="noConversion"/>
  </si>
  <si>
    <t>변동 금리 채권의 가치는 현금흐름 교환 직후에는 항상 액면체의 가치와 동일, 즉 원금</t>
    <phoneticPr fontId="1" type="noConversion"/>
  </si>
  <si>
    <t>- 가정</t>
    <phoneticPr fontId="1" type="noConversion"/>
  </si>
  <si>
    <t xml:space="preserve">   * 현금흐름 교환시점 t*에 교환하는 변동 금리액 k*</t>
    <phoneticPr fontId="1" type="noConversion"/>
  </si>
  <si>
    <t xml:space="preserve">   * 현금흐름 교환 시점 직후에 변동 금리 채권의 가치, L(원금)</t>
    <phoneticPr fontId="1" type="noConversion"/>
  </si>
  <si>
    <t xml:space="preserve">   * 혐금흐름 교환 시점 직전에 변동 금리 채권의 가치, L + k*</t>
    <phoneticPr fontId="1" type="noConversion"/>
  </si>
  <si>
    <t>- 변동 금리 채권의 가치</t>
    <phoneticPr fontId="1" type="noConversion"/>
  </si>
  <si>
    <t>최종 적인 이자율 스왑의 가치</t>
    <phoneticPr fontId="1" type="noConversion"/>
  </si>
  <si>
    <t>- 고정금리 수취</t>
    <phoneticPr fontId="1" type="noConversion"/>
  </si>
  <si>
    <t>- 고정금리 지급</t>
    <phoneticPr fontId="1" type="noConversion"/>
  </si>
  <si>
    <t xml:space="preserve">   * Bfl = (L + k*)* (1/(1+r)^t*)</t>
    <phoneticPr fontId="1" type="noConversion"/>
  </si>
  <si>
    <t xml:space="preserve">   * Vswap = Bfix - Bfl</t>
    <phoneticPr fontId="1" type="noConversion"/>
  </si>
  <si>
    <t xml:space="preserve">   * Vswap = Bfl - Bfix</t>
    <phoneticPr fontId="1" type="noConversion"/>
  </si>
  <si>
    <t>Valuation in Terms of Bonds</t>
    <phoneticPr fontId="1" type="noConversion"/>
  </si>
  <si>
    <t>- 6개월 만기 LIBOR를 지급하고, 8% 고정 금리를 6개월 간격으로 교환하는 스왑의 가치 결정</t>
    <phoneticPr fontId="1" type="noConversion"/>
  </si>
  <si>
    <t>- 원금: $100M, 만기: 1년 3개월</t>
    <phoneticPr fontId="1" type="noConversion"/>
  </si>
  <si>
    <t>- 3개월, 9개월, 15개월 LIBOR : 10%, 10.5%, 11%</t>
    <phoneticPr fontId="1" type="noConversion"/>
  </si>
  <si>
    <t>time</t>
    <phoneticPr fontId="1" type="noConversion"/>
  </si>
  <si>
    <t>Bfix</t>
    <phoneticPr fontId="1" type="noConversion"/>
  </si>
  <si>
    <t>Bfl</t>
    <phoneticPr fontId="1" type="noConversion"/>
  </si>
  <si>
    <t>PV Bfix</t>
    <phoneticPr fontId="1" type="noConversion"/>
  </si>
  <si>
    <t>PV Bfl</t>
    <phoneticPr fontId="1" type="noConversion"/>
  </si>
  <si>
    <t>Discount Factor</t>
    <phoneticPr fontId="1" type="noConversion"/>
  </si>
  <si>
    <t>- 직전 현금흐름 교환일의 6개월 만기 LIBOR금리 : 10.2%</t>
    <phoneticPr fontId="1" type="noConversion"/>
  </si>
  <si>
    <t>- Fixed receiver:</t>
    <phoneticPr fontId="1" type="noConversion"/>
  </si>
  <si>
    <t>- Fixed payer:</t>
    <phoneticPr fontId="1" type="noConversion"/>
  </si>
  <si>
    <t>Fixed CF</t>
    <phoneticPr fontId="1" type="noConversion"/>
  </si>
  <si>
    <t>Flaoting CF</t>
    <phoneticPr fontId="1" type="noConversion"/>
  </si>
  <si>
    <t>Net CF</t>
    <phoneticPr fontId="1" type="noConversion"/>
  </si>
  <si>
    <t>PV NCF</t>
    <phoneticPr fontId="1" type="noConversion"/>
  </si>
  <si>
    <t>스왑선도금리</t>
    <phoneticPr fontId="1" type="noConversion"/>
  </si>
  <si>
    <t>9개월 대비 6개월</t>
    <phoneticPr fontId="1" type="noConversion"/>
  </si>
  <si>
    <t>15개월 대비 6개월</t>
    <phoneticPr fontId="1" type="noConversion"/>
  </si>
  <si>
    <t>6개월 기준</t>
    <phoneticPr fontId="1" type="noConversion"/>
  </si>
  <si>
    <t>연기준</t>
    <phoneticPr fontId="1" type="noConversion"/>
  </si>
  <si>
    <t>6개월기준</t>
    <phoneticPr fontId="1" type="noConversion"/>
  </si>
  <si>
    <t>연 기준</t>
    <phoneticPr fontId="1" type="noConversion"/>
  </si>
  <si>
    <t>Valuation of Currency Swaps</t>
    <phoneticPr fontId="1" type="noConversion"/>
  </si>
  <si>
    <t>- 이자율 스왑과 동일하게 통화 스왑은 자국 통화 채권과 타국 통화 채권 가치의 차 또는 금리 선도 계약의 포트폴리오로 평가할 수 있음</t>
    <phoneticPr fontId="1" type="noConversion"/>
  </si>
  <si>
    <t>J = 4%, US = 9%, 110 yen = $1</t>
    <phoneticPr fontId="1" type="noConversion"/>
  </si>
  <si>
    <t>- Valuation in Terms of Bonds</t>
    <phoneticPr fontId="1" type="noConversion"/>
  </si>
  <si>
    <t>Time</t>
    <phoneticPr fontId="1" type="noConversion"/>
  </si>
  <si>
    <t>CF on Dollar Bond</t>
    <phoneticPr fontId="1" type="noConversion"/>
  </si>
  <si>
    <t>PV($)</t>
    <phoneticPr fontId="1" type="noConversion"/>
  </si>
  <si>
    <t>CF forward on yen bond</t>
    <phoneticPr fontId="1" type="noConversion"/>
  </si>
  <si>
    <t>PV(yen)</t>
    <phoneticPr fontId="1" type="noConversion"/>
  </si>
  <si>
    <t>통화스왑의 가치</t>
    <phoneticPr fontId="1" type="noConversion"/>
  </si>
  <si>
    <t>(달러채권을 주고 엔화채권을 받을때의 가치)</t>
    <phoneticPr fontId="1" type="noConversion"/>
  </si>
  <si>
    <t>Vswap = Bd - So*Bf</t>
    <phoneticPr fontId="1" type="noConversion"/>
  </si>
  <si>
    <t>= 엔화이자를 받고 달러이자를 지급할때의 가치</t>
    <phoneticPr fontId="1" type="noConversion"/>
  </si>
  <si>
    <t>J = 4%, US =9%, 110yen = $1</t>
    <phoneticPr fontId="1" type="noConversion"/>
  </si>
  <si>
    <t>- Valuation in Terms of FRAs</t>
    <phoneticPr fontId="1" type="noConversion"/>
  </si>
  <si>
    <t>Dollar Cash Flow</t>
    <phoneticPr fontId="1" type="noConversion"/>
  </si>
  <si>
    <t>Yen Cash Flow</t>
    <phoneticPr fontId="1" type="noConversion"/>
  </si>
  <si>
    <t>Forward Exchange Rate</t>
    <phoneticPr fontId="1" type="noConversion"/>
  </si>
  <si>
    <t>Dollar Value of Yen CF</t>
    <phoneticPr fontId="1" type="noConversion"/>
  </si>
  <si>
    <t>PV</t>
    <phoneticPr fontId="1" type="noConversion"/>
  </si>
  <si>
    <t>USD IRS</t>
    <phoneticPr fontId="1" type="noConversion"/>
  </si>
  <si>
    <t>- 6M USD LIBOR와 고정금리 교환</t>
    <phoneticPr fontId="1" type="noConversion"/>
  </si>
  <si>
    <t>KRW IRS</t>
    <phoneticPr fontId="1" type="noConversion"/>
  </si>
  <si>
    <t>- 3M KRW CD와 고정금리 교환</t>
    <phoneticPr fontId="1" type="noConversion"/>
  </si>
  <si>
    <t>CD = Certificate of Deposit(양도성 예금증서)</t>
    <phoneticPr fontId="1" type="noConversion"/>
  </si>
  <si>
    <t>KRW-USD CRS</t>
    <phoneticPr fontId="1" type="noConversion"/>
  </si>
  <si>
    <t>- 6M USD LIBOR와 원화고정금리 교환</t>
    <phoneticPr fontId="1" type="noConversion"/>
  </si>
  <si>
    <t>Swap Market</t>
    <phoneticPr fontId="1" type="noConversion"/>
  </si>
  <si>
    <t>* 주요 이자율 스왑 및 통화 스왑 시장</t>
    <phoneticPr fontId="1" type="noConversion"/>
  </si>
  <si>
    <t>* 스왑 거래의 신용위험</t>
    <phoneticPr fontId="1" type="noConversion"/>
  </si>
  <si>
    <t>현재 스왑의 가치가 (+)인 경우에만 신용위험에 노출됨</t>
    <phoneticPr fontId="1" type="noConversion"/>
  </si>
  <si>
    <t>* 기타 스왑</t>
    <phoneticPr fontId="1" type="noConversion"/>
  </si>
  <si>
    <t>주식스왑(Equity Swap) / 상품스왑(Commodity swap) / 변동성스왑(Volatility swap)</t>
    <phoneticPr fontId="1" type="noConversion"/>
  </si>
  <si>
    <t>상각스왑(Amortizing Swap) / 선도스왑(Forward swap) / 동일만기스왑(CMS) / 후방스왑(In-arrears swap) / 확장스왑(Extendable swap) / 조기종료스왑(Puttable swap)</t>
    <phoneticPr fontId="1" type="noConversion"/>
  </si>
  <si>
    <t>동일 원금을 가지는 일반 채권 투자나 대출보다 스왑의 신용위험은 훨씬 낮다.(이자율 스왑의 경우 원금을 교환하지 않기 때문에, 반면 통화스왑은 원금을 교환하기 때문에 신용위험이 상대적으로 높다)</t>
    <phoneticPr fontId="1" type="noConversion"/>
  </si>
  <si>
    <t>Credit Default Swap(CDS)</t>
    <phoneticPr fontId="1" type="noConversion"/>
  </si>
  <si>
    <t>* 대표적 신용파생상품(credit derivatives)</t>
    <phoneticPr fontId="1" type="noConversion"/>
  </si>
  <si>
    <t>- 손실금의 지급방법은 현금으로 정산(cash settlement)할 수도 있고, 미리정한 준거자산을 직접 이전(physical settlement)할 수도 있음</t>
    <phoneticPr fontId="1" type="noConversion"/>
  </si>
  <si>
    <t>* 신용위험의 인수대가인 CDS 프리미엄은 준거자산의 신용사건 발생 가능성, 신용사건 발생시 준거자산의 회수율(recovery rate), 보장 매도자의 신용도 등에 따라 결정</t>
    <phoneticPr fontId="1" type="noConversion"/>
  </si>
  <si>
    <t>* 보장매입자는 준거기업에 대한 신용위험을 이전하는 대신 보장매도자의 신용위험을 인수</t>
    <phoneticPr fontId="1" type="noConversion"/>
  </si>
  <si>
    <t>* 만약 만기 이전에 서로 정한 신용사건이 발생할 경우 보장매도자는 손실금(채무원금 - 회수금액)을 보장매입자에게 지급</t>
    <phoneticPr fontId="1" type="noConversion"/>
  </si>
  <si>
    <t>* 보장매입자가 기초자산에서 발생하는 이자, 자본수익(손실) 등 모든 현금흐름을 보장매도자에게 지급하고, 보장매도자로부터 약정한 수익(예를 들어, Libor + spread)을 지급받는 계약</t>
    <phoneticPr fontId="1" type="noConversion"/>
  </si>
  <si>
    <t>* 기초자산에서 발생하는 모든 현금흐름을 이전하기 때문에 현금흐름측면에서 기초자산을 매각하는 것과 동일</t>
    <phoneticPr fontId="1" type="noConversion"/>
  </si>
  <si>
    <t>* CDS는 신용사건이 발생하는 경우에만 기초자산에서 발생하는 손실의 결제가 일어나는 반면, TRS는 신용사건이 발생하지 않는 평상시에도 기초자산의 시장가치를 반영한 현금흐름이 발생</t>
    <phoneticPr fontId="1" type="noConversion"/>
  </si>
  <si>
    <t>* TRS는 신용위험뿐만 아니라, 시장위험까지도 동시에 이전</t>
    <phoneticPr fontId="1" type="noConversion"/>
  </si>
  <si>
    <t>Total Return Swap(TRS)</t>
    <phoneticPr fontId="1" type="noConversion"/>
  </si>
  <si>
    <t>연습문제</t>
    <phoneticPr fontId="1" type="noConversion"/>
  </si>
  <si>
    <t xml:space="preserve">아래와 같은 금리로 차입이 가능한 두 회사가 있다. 두 회사는 금리스왑(이자율스왑)을 통하여 각각 얼마만큼의 차입금리의 절감을 가져올 수 있는가? </t>
    <phoneticPr fontId="1" type="noConversion"/>
  </si>
  <si>
    <t>A</t>
    <phoneticPr fontId="1" type="noConversion"/>
  </si>
  <si>
    <t>B</t>
    <phoneticPr fontId="1" type="noConversion"/>
  </si>
  <si>
    <t>LIBOR + 0.6%</t>
    <phoneticPr fontId="1" type="noConversion"/>
  </si>
  <si>
    <t>LIBOR + 1%</t>
    <phoneticPr fontId="1" type="noConversion"/>
  </si>
  <si>
    <t>비교우위</t>
    <phoneticPr fontId="1" type="noConversion"/>
  </si>
  <si>
    <t>고정 1%</t>
    <phoneticPr fontId="1" type="noConversion"/>
  </si>
  <si>
    <t>차이</t>
    <phoneticPr fontId="1" type="noConversion"/>
  </si>
  <si>
    <t>변동 0.4%</t>
    <phoneticPr fontId="1" type="noConversion"/>
  </si>
  <si>
    <t>스왑의 가치</t>
    <phoneticPr fontId="1" type="noConversion"/>
  </si>
  <si>
    <t>A자동차는 7년 만기 유로화자금을 고정금리로는 9%에 조달할 수 있고, 변동금리로 조달하는 경우 1년 LIBOR 금리로 7년 만기 달러표시 조달도 가능하다. B전자는 유로화자금을 고정금리로는 10.1%에 조달 할 수 있는 반면, 변동금리로는 1년 LIBOR 금리로 7년 만기 달러표시 차입을 할 수 있다. 스왑뱅크가 유로화 고정금리와 미달러화 변동금리(1년 LIBOR)간의 통화 스왑 offer/bid 호가를 각각 9.55%, 9.45%로 공시하였다. 양사가 스왑뱅크를 통해 통화스왑을 체결하였다고 하자. A자동차의 최종적인 차입금리는 얼마인가?</t>
    <phoneticPr fontId="1" type="noConversion"/>
  </si>
  <si>
    <t xml:space="preserve">각각 </t>
    <phoneticPr fontId="1" type="noConversion"/>
  </si>
  <si>
    <t>A는 9.7%의 고정금리를 받고 LIBOR를 B에게 준다</t>
    <phoneticPr fontId="1" type="noConversion"/>
  </si>
  <si>
    <t>B는 9.7%의 고정금리를 주고 LIBOR를 A에게 받는다.</t>
    <phoneticPr fontId="1" type="noConversion"/>
  </si>
  <si>
    <t>L</t>
    <phoneticPr fontId="1" type="noConversion"/>
  </si>
  <si>
    <t>스압결과</t>
    <phoneticPr fontId="1" type="noConversion"/>
  </si>
  <si>
    <t>LIBOR + 0.3%</t>
    <phoneticPr fontId="1" type="noConversion"/>
  </si>
  <si>
    <t>스왑거래</t>
    <phoneticPr fontId="1" type="noConversion"/>
  </si>
  <si>
    <t>LIBOR</t>
    <phoneticPr fontId="1" type="noConversion"/>
  </si>
  <si>
    <t>유로화 고정금리</t>
    <phoneticPr fontId="1" type="noConversion"/>
  </si>
  <si>
    <t>달러화 변동금리</t>
    <phoneticPr fontId="1" type="noConversion"/>
  </si>
  <si>
    <t>LIBOR 달러</t>
    <phoneticPr fontId="1" type="noConversion"/>
  </si>
  <si>
    <t xml:space="preserve">A는 스왑뱅크에게 LIBOR를 주고 9.45% 고정이자를 받아온다. </t>
    <phoneticPr fontId="1" type="noConversion"/>
  </si>
  <si>
    <t>결과</t>
    <phoneticPr fontId="1" type="noConversion"/>
  </si>
  <si>
    <t>LIBOR - 0.45%</t>
    <phoneticPr fontId="1" type="noConversion"/>
  </si>
  <si>
    <t>B는 스왑뱅크에게 LIBOR를 받고 9.55% 고정이자를 준다.</t>
    <phoneticPr fontId="1" type="noConversion"/>
  </si>
  <si>
    <t>스왑뱅크는 B에게 9.55%의 고정이자를 받고 A에게 9.45%의 고정이자를 준다.</t>
    <phoneticPr fontId="1" type="noConversion"/>
  </si>
  <si>
    <t>스왑뱅크</t>
    <phoneticPr fontId="1" type="noConversion"/>
  </si>
  <si>
    <t>A는 C은행에게 고정금리 4%를 지급하고 LIBOR + 200bp를 수취하였다.</t>
    <phoneticPr fontId="1" type="noConversion"/>
  </si>
  <si>
    <t>순수익</t>
    <phoneticPr fontId="1" type="noConversion"/>
  </si>
  <si>
    <t>A는 스왑딜러에게 LIBOR를 받고 고정금리 3.39%를 준다.</t>
    <phoneticPr fontId="1" type="noConversion"/>
  </si>
  <si>
    <t>B는 스왑딜러에게 LIBOR를 주고 고정금리 3.36%를 받는다.</t>
    <phoneticPr fontId="1" type="noConversion"/>
  </si>
  <si>
    <t>스왑딜러는 B에게 3.36%를 주고 A에게 3.39%를 받는다.</t>
    <phoneticPr fontId="1" type="noConversion"/>
  </si>
  <si>
    <t>스왑딜러</t>
    <phoneticPr fontId="1" type="noConversion"/>
  </si>
  <si>
    <t>LIBOR + ?</t>
    <phoneticPr fontId="1" type="noConversion"/>
  </si>
  <si>
    <t>LIBOR + 50bp</t>
    <phoneticPr fontId="1" type="noConversion"/>
  </si>
  <si>
    <t>선호도</t>
    <phoneticPr fontId="1" type="noConversion"/>
  </si>
  <si>
    <t>* 선호도 보다 비교우위에 따라 차입했다고 가정</t>
    <phoneticPr fontId="1" type="noConversion"/>
  </si>
  <si>
    <t>A는 스왑딜러에게 고정금리 4.75%를 주고 LIBOR를 받았다.</t>
    <phoneticPr fontId="1" type="noConversion"/>
  </si>
  <si>
    <t>L은 스왑딜러에게 고정금리 4.7%를 받고 LIBOR를 주었다.</t>
    <phoneticPr fontId="1" type="noConversion"/>
  </si>
  <si>
    <t>스왑딜러는 L에게 4.7%를 주고 A에게 4.75%를 받았다.</t>
    <phoneticPr fontId="1" type="noConversion"/>
  </si>
  <si>
    <t>LIBOR - 0.2%</t>
    <phoneticPr fontId="1" type="noConversion"/>
  </si>
  <si>
    <t>FRB = Floating Rate Note (변동금리부사채)</t>
    <phoneticPr fontId="1" type="noConversion"/>
  </si>
  <si>
    <t>A는 C에게 4% 고정금리 지급, 변동금리 LIBOR + 2% 수취를 하였다.</t>
    <phoneticPr fontId="1" type="noConversion"/>
  </si>
  <si>
    <t>순이익</t>
    <phoneticPr fontId="1" type="noConversion"/>
  </si>
  <si>
    <t>B는 A에게 EUR 5.5% 지급, KRW 6.5% 수취 하였다.</t>
    <phoneticPr fontId="1" type="noConversion"/>
  </si>
  <si>
    <t>KRW 6.5% 수취 채권으로 전환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</si>
</sst>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.0"/>
    <numFmt numFmtId="177" formatCode="\+#,##0.00;[Red]\-#,##0.00"/>
    <numFmt numFmtId="178" formatCode="0.00000"/>
    <numFmt numFmtId="179" formatCode="0.000"/>
    <numFmt numFmtId="180" formatCode="0.000_ "/>
    <numFmt numFmtId="181" formatCode="mm&quot;월&quot;\ dd&quot;일&quot;"/>
    <numFmt numFmtId="196" formatCode="0.000%"/>
    <numFmt numFmtId="197" formatCode="0.0%"/>
    <numFmt numFmtId="202" formatCode="0.000000"/>
    <numFmt numFmtId="203" formatCode="0.0000"/>
  </numFmts>
  <fonts count="3" x14ac:knownFonts="1">
    <font>
      <sz val="11"/>
      <color theme="1"/>
      <name val="D2Coding"/>
      <family val="2"/>
      <charset val="129"/>
    </font>
    <font>
      <sz val="8"/>
      <name val="D2Coding"/>
      <family val="2"/>
      <charset val="129"/>
    </font>
    <font>
      <b/>
      <sz val="11"/>
      <color theme="1"/>
      <name val="D2Coding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quotePrefix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177" fontId="0" fillId="0" borderId="1" xfId="0" applyNumberFormat="1" applyBorder="1">
      <alignment vertical="center"/>
    </xf>
    <xf numFmtId="0" fontId="2" fillId="0" borderId="0" xfId="0" applyFont="1">
      <alignment vertical="center"/>
    </xf>
    <xf numFmtId="180" fontId="0" fillId="0" borderId="0" xfId="0" applyNumberFormat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196" fontId="0" fillId="0" borderId="0" xfId="0" applyNumberFormat="1">
      <alignment vertical="center"/>
    </xf>
    <xf numFmtId="197" fontId="0" fillId="0" borderId="0" xfId="0" applyNumberFormat="1">
      <alignment vertical="center"/>
    </xf>
    <xf numFmtId="196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81" fontId="0" fillId="2" borderId="1" xfId="0" applyNumberFormat="1" applyFill="1" applyBorder="1">
      <alignment vertical="center"/>
    </xf>
    <xf numFmtId="203" fontId="0" fillId="0" borderId="0" xfId="0" applyNumberFormat="1">
      <alignment vertical="center"/>
    </xf>
    <xf numFmtId="203" fontId="0" fillId="0" borderId="1" xfId="0" applyNumberFormat="1" applyBorder="1">
      <alignment vertical="center"/>
    </xf>
    <xf numFmtId="202" fontId="0" fillId="0" borderId="1" xfId="0" applyNumberFormat="1" applyBorder="1">
      <alignment vertical="center"/>
    </xf>
    <xf numFmtId="9" fontId="0" fillId="0" borderId="0" xfId="0" applyNumberFormat="1">
      <alignment vertical="center"/>
    </xf>
    <xf numFmtId="9" fontId="0" fillId="0" borderId="1" xfId="0" applyNumberFormat="1" applyBorder="1">
      <alignment vertical="center"/>
    </xf>
    <xf numFmtId="0" fontId="0" fillId="0" borderId="0" xfId="0" applyFill="1" applyBorder="1">
      <alignment vertical="center"/>
    </xf>
    <xf numFmtId="9" fontId="0" fillId="0" borderId="0" xfId="0" quotePrefix="1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0" fontId="0" fillId="3" borderId="0" xfId="0" applyNumberFormat="1" applyFill="1">
      <alignment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28D7-11E8-4F42-BA70-F9502157B1BA}">
  <dimension ref="B2:F134"/>
  <sheetViews>
    <sheetView topLeftCell="A85" workbookViewId="0">
      <selection activeCell="C101" sqref="C101"/>
    </sheetView>
  </sheetViews>
  <sheetFormatPr defaultRowHeight="15" x14ac:dyDescent="0.25"/>
  <cols>
    <col min="2" max="2" width="16.85546875" bestFit="1" customWidth="1"/>
    <col min="3" max="3" width="11.42578125" bestFit="1" customWidth="1"/>
    <col min="4" max="4" width="20" bestFit="1" customWidth="1"/>
    <col min="5" max="5" width="16.85546875" bestFit="1" customWidth="1"/>
    <col min="6" max="6" width="14.5703125" bestFit="1" customWidth="1"/>
  </cols>
  <sheetData>
    <row r="2" spans="2:2" x14ac:dyDescent="0.25">
      <c r="B2" t="s">
        <v>0</v>
      </c>
    </row>
    <row r="4" spans="2:2" x14ac:dyDescent="0.25">
      <c r="B4" t="s">
        <v>1</v>
      </c>
    </row>
    <row r="5" spans="2:2" x14ac:dyDescent="0.25">
      <c r="B5" t="s">
        <v>2</v>
      </c>
    </row>
    <row r="6" spans="2:2" x14ac:dyDescent="0.25">
      <c r="B6" t="s">
        <v>3</v>
      </c>
    </row>
    <row r="8" spans="2:2" x14ac:dyDescent="0.25">
      <c r="B8" t="s">
        <v>4</v>
      </c>
    </row>
    <row r="9" spans="2:2" x14ac:dyDescent="0.25">
      <c r="B9" t="s">
        <v>5</v>
      </c>
    </row>
    <row r="10" spans="2:2" x14ac:dyDescent="0.25">
      <c r="B10" s="1" t="s">
        <v>6</v>
      </c>
    </row>
    <row r="11" spans="2:2" x14ac:dyDescent="0.25">
      <c r="B11" s="1" t="s">
        <v>7</v>
      </c>
    </row>
    <row r="12" spans="2:2" x14ac:dyDescent="0.25">
      <c r="B12" s="1" t="s">
        <v>8</v>
      </c>
    </row>
    <row r="14" spans="2:2" x14ac:dyDescent="0.25">
      <c r="B14" t="s">
        <v>9</v>
      </c>
    </row>
    <row r="15" spans="2:2" x14ac:dyDescent="0.25">
      <c r="B15" s="1" t="s">
        <v>10</v>
      </c>
    </row>
    <row r="16" spans="2:2" x14ac:dyDescent="0.25">
      <c r="B16" s="1" t="s">
        <v>11</v>
      </c>
    </row>
    <row r="17" spans="2:6" x14ac:dyDescent="0.25">
      <c r="B17" s="1" t="s">
        <v>12</v>
      </c>
    </row>
    <row r="19" spans="2:6" x14ac:dyDescent="0.25">
      <c r="B19" t="s">
        <v>13</v>
      </c>
    </row>
    <row r="20" spans="2:6" x14ac:dyDescent="0.25">
      <c r="B20" s="1" t="s">
        <v>14</v>
      </c>
    </row>
    <row r="21" spans="2:6" x14ac:dyDescent="0.25">
      <c r="B21" s="1" t="s">
        <v>15</v>
      </c>
    </row>
    <row r="24" spans="2:6" x14ac:dyDescent="0.25">
      <c r="B24" t="s">
        <v>16</v>
      </c>
    </row>
    <row r="25" spans="2:6" x14ac:dyDescent="0.25">
      <c r="B25" s="1" t="s">
        <v>17</v>
      </c>
    </row>
    <row r="26" spans="2:6" x14ac:dyDescent="0.25">
      <c r="B26" s="1" t="s">
        <v>18</v>
      </c>
    </row>
    <row r="27" spans="2:6" x14ac:dyDescent="0.25">
      <c r="B27" s="1" t="s">
        <v>19</v>
      </c>
    </row>
    <row r="28" spans="2:6" x14ac:dyDescent="0.25">
      <c r="B28" s="1" t="s">
        <v>20</v>
      </c>
    </row>
    <row r="29" spans="2:6" x14ac:dyDescent="0.25">
      <c r="B29" s="1" t="s">
        <v>21</v>
      </c>
    </row>
    <row r="31" spans="2:6" x14ac:dyDescent="0.25">
      <c r="B31" s="14" t="s">
        <v>22</v>
      </c>
      <c r="C31" s="14" t="s">
        <v>23</v>
      </c>
      <c r="D31" s="14" t="s">
        <v>25</v>
      </c>
      <c r="E31" s="14"/>
      <c r="F31" s="14"/>
    </row>
    <row r="32" spans="2:6" x14ac:dyDescent="0.25">
      <c r="B32" s="14"/>
      <c r="C32" s="14"/>
      <c r="D32" s="6" t="s">
        <v>24</v>
      </c>
      <c r="E32" s="6" t="s">
        <v>26</v>
      </c>
      <c r="F32" s="6" t="s">
        <v>27</v>
      </c>
    </row>
    <row r="33" spans="2:6" x14ac:dyDescent="0.25">
      <c r="B33" s="6" t="s">
        <v>29</v>
      </c>
      <c r="C33" s="4">
        <v>4.2000000000000003E-2</v>
      </c>
      <c r="D33" s="3"/>
      <c r="E33" s="3"/>
      <c r="F33" s="3"/>
    </row>
    <row r="34" spans="2:6" x14ac:dyDescent="0.25">
      <c r="B34" s="6" t="s">
        <v>28</v>
      </c>
      <c r="C34" s="4">
        <v>4.8000000000000001E-2</v>
      </c>
      <c r="D34" s="5">
        <f>C33*100*6/12</f>
        <v>2.1</v>
      </c>
      <c r="E34" s="5">
        <f>-5%*100*6/12</f>
        <v>-2.5</v>
      </c>
      <c r="F34" s="5">
        <f>D34+E34</f>
        <v>-0.39999999999999991</v>
      </c>
    </row>
    <row r="35" spans="2:6" x14ac:dyDescent="0.25">
      <c r="B35" s="6" t="s">
        <v>31</v>
      </c>
      <c r="C35" s="4">
        <v>5.2999999999999999E-2</v>
      </c>
      <c r="D35" s="5">
        <f t="shared" ref="D35:D39" si="0">C34*100*6/12</f>
        <v>2.4</v>
      </c>
      <c r="E35" s="5">
        <f t="shared" ref="E35:E39" si="1">-5%*100*6/12</f>
        <v>-2.5</v>
      </c>
      <c r="F35" s="5">
        <f t="shared" ref="F35:F39" si="2">D35+E35</f>
        <v>-0.10000000000000009</v>
      </c>
    </row>
    <row r="36" spans="2:6" x14ac:dyDescent="0.25">
      <c r="B36" s="6" t="s">
        <v>30</v>
      </c>
      <c r="C36" s="4">
        <v>5.5E-2</v>
      </c>
      <c r="D36" s="5">
        <f t="shared" si="0"/>
        <v>2.65</v>
      </c>
      <c r="E36" s="5">
        <f t="shared" si="1"/>
        <v>-2.5</v>
      </c>
      <c r="F36" s="5">
        <f t="shared" si="2"/>
        <v>0.14999999999999991</v>
      </c>
    </row>
    <row r="37" spans="2:6" x14ac:dyDescent="0.25">
      <c r="B37" s="6" t="s">
        <v>32</v>
      </c>
      <c r="C37" s="4">
        <v>5.6000000000000001E-2</v>
      </c>
      <c r="D37" s="5">
        <f t="shared" si="0"/>
        <v>2.75</v>
      </c>
      <c r="E37" s="5">
        <f t="shared" si="1"/>
        <v>-2.5</v>
      </c>
      <c r="F37" s="5">
        <f t="shared" si="2"/>
        <v>0.25</v>
      </c>
    </row>
    <row r="38" spans="2:6" x14ac:dyDescent="0.25">
      <c r="B38" s="6" t="s">
        <v>33</v>
      </c>
      <c r="C38" s="4">
        <v>5.8999999999999997E-2</v>
      </c>
      <c r="D38" s="5">
        <f t="shared" si="0"/>
        <v>2.8000000000000003</v>
      </c>
      <c r="E38" s="5">
        <f t="shared" si="1"/>
        <v>-2.5</v>
      </c>
      <c r="F38" s="5">
        <f t="shared" si="2"/>
        <v>0.30000000000000027</v>
      </c>
    </row>
    <row r="39" spans="2:6" x14ac:dyDescent="0.25">
      <c r="B39" s="6" t="s">
        <v>34</v>
      </c>
      <c r="C39" s="4">
        <v>6.4000000000000001E-2</v>
      </c>
      <c r="D39" s="5">
        <f t="shared" si="0"/>
        <v>2.9499999999999997</v>
      </c>
      <c r="E39" s="5">
        <f t="shared" si="1"/>
        <v>-2.5</v>
      </c>
      <c r="F39" s="5">
        <f t="shared" si="2"/>
        <v>0.44999999999999973</v>
      </c>
    </row>
    <row r="41" spans="2:6" x14ac:dyDescent="0.25">
      <c r="B41" t="s">
        <v>35</v>
      </c>
    </row>
    <row r="43" spans="2:6" x14ac:dyDescent="0.25">
      <c r="B43" t="s">
        <v>36</v>
      </c>
    </row>
    <row r="44" spans="2:6" x14ac:dyDescent="0.25">
      <c r="B44" t="s">
        <v>37</v>
      </c>
    </row>
    <row r="45" spans="2:6" x14ac:dyDescent="0.25">
      <c r="B45" t="s">
        <v>38</v>
      </c>
    </row>
    <row r="46" spans="2:6" x14ac:dyDescent="0.25">
      <c r="B46" t="s">
        <v>39</v>
      </c>
    </row>
    <row r="48" spans="2:6" x14ac:dyDescent="0.25">
      <c r="B48" t="s">
        <v>40</v>
      </c>
    </row>
    <row r="49" spans="2:5" x14ac:dyDescent="0.25">
      <c r="B49" t="s">
        <v>92</v>
      </c>
    </row>
    <row r="50" spans="2:5" x14ac:dyDescent="0.25">
      <c r="B50" t="s">
        <v>41</v>
      </c>
    </row>
    <row r="52" spans="2:5" x14ac:dyDescent="0.25">
      <c r="B52" t="s">
        <v>42</v>
      </c>
    </row>
    <row r="54" spans="2:5" x14ac:dyDescent="0.25">
      <c r="B54" t="s">
        <v>43</v>
      </c>
    </row>
    <row r="55" spans="2:5" x14ac:dyDescent="0.25">
      <c r="B55" t="s">
        <v>44</v>
      </c>
    </row>
    <row r="56" spans="2:5" x14ac:dyDescent="0.25">
      <c r="B56" t="s">
        <v>45</v>
      </c>
    </row>
    <row r="58" spans="2:5" x14ac:dyDescent="0.25">
      <c r="B58" t="s">
        <v>46</v>
      </c>
    </row>
    <row r="59" spans="2:5" x14ac:dyDescent="0.25">
      <c r="B59" s="1" t="s">
        <v>47</v>
      </c>
    </row>
    <row r="60" spans="2:5" x14ac:dyDescent="0.25">
      <c r="B60" s="1" t="s">
        <v>48</v>
      </c>
    </row>
    <row r="62" spans="2:5" x14ac:dyDescent="0.25">
      <c r="B62" t="s">
        <v>49</v>
      </c>
      <c r="C62" s="2">
        <v>5.1200000000000002E-2</v>
      </c>
      <c r="D62" t="s">
        <v>50</v>
      </c>
      <c r="E62" t="s">
        <v>51</v>
      </c>
    </row>
    <row r="63" spans="2:5" x14ac:dyDescent="0.25">
      <c r="B63" t="s">
        <v>52</v>
      </c>
      <c r="C63" t="s">
        <v>53</v>
      </c>
    </row>
    <row r="64" spans="2:5" x14ac:dyDescent="0.25">
      <c r="B64" t="s">
        <v>54</v>
      </c>
    </row>
    <row r="65" spans="2:4" x14ac:dyDescent="0.25">
      <c r="B65" s="1" t="s">
        <v>55</v>
      </c>
    </row>
    <row r="66" spans="2:4" x14ac:dyDescent="0.25">
      <c r="B66" s="1" t="s">
        <v>56</v>
      </c>
    </row>
    <row r="68" spans="2:4" x14ac:dyDescent="0.25">
      <c r="B68" t="s">
        <v>61</v>
      </c>
    </row>
    <row r="71" spans="2:4" x14ac:dyDescent="0.25">
      <c r="B71" t="s">
        <v>57</v>
      </c>
    </row>
    <row r="72" spans="2:4" x14ac:dyDescent="0.25">
      <c r="B72" s="3" t="s">
        <v>58</v>
      </c>
      <c r="C72" s="3" t="s">
        <v>59</v>
      </c>
      <c r="D72" s="3" t="s">
        <v>60</v>
      </c>
    </row>
    <row r="73" spans="2:4" x14ac:dyDescent="0.25">
      <c r="B73" s="3" t="s">
        <v>62</v>
      </c>
      <c r="C73" s="4">
        <v>0.1</v>
      </c>
      <c r="D73" s="3" t="s">
        <v>64</v>
      </c>
    </row>
    <row r="74" spans="2:4" x14ac:dyDescent="0.25">
      <c r="B74" s="3" t="s">
        <v>63</v>
      </c>
      <c r="C74" s="4">
        <v>0.112</v>
      </c>
      <c r="D74" s="3" t="s">
        <v>65</v>
      </c>
    </row>
    <row r="75" spans="2:4" x14ac:dyDescent="0.25">
      <c r="B75" s="3"/>
      <c r="C75" s="4">
        <f>C74-C73</f>
        <v>1.1999999999999997E-2</v>
      </c>
      <c r="D75" s="7" t="s">
        <v>66</v>
      </c>
    </row>
    <row r="76" spans="2:4" x14ac:dyDescent="0.25">
      <c r="B76" s="1" t="s">
        <v>67</v>
      </c>
    </row>
    <row r="78" spans="2:4" x14ac:dyDescent="0.25">
      <c r="B78" t="s">
        <v>68</v>
      </c>
    </row>
    <row r="79" spans="2:4" x14ac:dyDescent="0.25">
      <c r="B79" t="s">
        <v>69</v>
      </c>
    </row>
    <row r="80" spans="2:4" x14ac:dyDescent="0.25">
      <c r="B80" s="1" t="s">
        <v>70</v>
      </c>
    </row>
    <row r="82" spans="2:2" x14ac:dyDescent="0.25">
      <c r="B82" t="s">
        <v>71</v>
      </c>
    </row>
    <row r="83" spans="2:2" x14ac:dyDescent="0.25">
      <c r="B83" s="1" t="s">
        <v>72</v>
      </c>
    </row>
    <row r="85" spans="2:2" x14ac:dyDescent="0.25">
      <c r="B85" s="1" t="s">
        <v>73</v>
      </c>
    </row>
    <row r="86" spans="2:2" x14ac:dyDescent="0.25">
      <c r="B86" t="s">
        <v>74</v>
      </c>
    </row>
    <row r="89" spans="2:2" x14ac:dyDescent="0.25">
      <c r="B89" s="9" t="s">
        <v>85</v>
      </c>
    </row>
    <row r="91" spans="2:2" x14ac:dyDescent="0.25">
      <c r="B91" s="9" t="s">
        <v>75</v>
      </c>
    </row>
    <row r="92" spans="2:2" x14ac:dyDescent="0.25">
      <c r="B92" s="1" t="s">
        <v>76</v>
      </c>
    </row>
    <row r="93" spans="2:2" x14ac:dyDescent="0.25">
      <c r="B93" s="1" t="s">
        <v>77</v>
      </c>
    </row>
    <row r="94" spans="2:2" x14ac:dyDescent="0.25">
      <c r="B94" s="1" t="s">
        <v>78</v>
      </c>
    </row>
    <row r="95" spans="2:2" x14ac:dyDescent="0.25">
      <c r="B95" s="1" t="s">
        <v>79</v>
      </c>
    </row>
    <row r="96" spans="2:2" x14ac:dyDescent="0.25">
      <c r="B96" s="1" t="s">
        <v>80</v>
      </c>
    </row>
    <row r="98" spans="2:4" x14ac:dyDescent="0.25">
      <c r="B98" s="14" t="s">
        <v>81</v>
      </c>
      <c r="C98" s="6" t="s">
        <v>82</v>
      </c>
      <c r="D98" s="6" t="s">
        <v>83</v>
      </c>
    </row>
    <row r="99" spans="2:4" x14ac:dyDescent="0.25">
      <c r="B99" s="14"/>
      <c r="C99" s="14" t="s">
        <v>84</v>
      </c>
      <c r="D99" s="14"/>
    </row>
    <row r="100" spans="2:4" x14ac:dyDescent="0.25">
      <c r="B100" s="6">
        <v>2020</v>
      </c>
      <c r="C100" s="8">
        <v>-15</v>
      </c>
      <c r="D100" s="8">
        <v>10</v>
      </c>
    </row>
    <row r="101" spans="2:4" x14ac:dyDescent="0.25">
      <c r="B101" s="6">
        <v>2021</v>
      </c>
      <c r="C101" s="8">
        <f>-$C$100*8%</f>
        <v>1.2</v>
      </c>
      <c r="D101" s="8">
        <f>-$D$100*11%</f>
        <v>-1.1000000000000001</v>
      </c>
    </row>
    <row r="102" spans="2:4" x14ac:dyDescent="0.25">
      <c r="B102" s="6">
        <v>2022</v>
      </c>
      <c r="C102" s="8">
        <f t="shared" ref="C102:C104" si="3">-$C$100*8%</f>
        <v>1.2</v>
      </c>
      <c r="D102" s="8">
        <f t="shared" ref="D102:D104" si="4">-$D$100*11%</f>
        <v>-1.1000000000000001</v>
      </c>
    </row>
    <row r="103" spans="2:4" x14ac:dyDescent="0.25">
      <c r="B103" s="6">
        <v>2023</v>
      </c>
      <c r="C103" s="8">
        <f t="shared" si="3"/>
        <v>1.2</v>
      </c>
      <c r="D103" s="8">
        <f t="shared" si="4"/>
        <v>-1.1000000000000001</v>
      </c>
    </row>
    <row r="104" spans="2:4" x14ac:dyDescent="0.25">
      <c r="B104" s="6">
        <v>2024</v>
      </c>
      <c r="C104" s="8">
        <f t="shared" si="3"/>
        <v>1.2</v>
      </c>
      <c r="D104" s="8">
        <f t="shared" si="4"/>
        <v>-1.1000000000000001</v>
      </c>
    </row>
    <row r="105" spans="2:4" x14ac:dyDescent="0.25">
      <c r="B105" s="6">
        <v>2025</v>
      </c>
      <c r="C105" s="8">
        <f>-C100-$C$100*8%</f>
        <v>16.2</v>
      </c>
      <c r="D105" s="8">
        <f>-$D$100*11%-D100</f>
        <v>-11.1</v>
      </c>
    </row>
    <row r="106" spans="2:4" x14ac:dyDescent="0.25">
      <c r="B106" s="3" t="s">
        <v>95</v>
      </c>
      <c r="C106" s="8">
        <f>SUM(C100:C105)</f>
        <v>5.9999999999999964</v>
      </c>
      <c r="D106" s="8">
        <f t="shared" ref="D106" si="5">SUM(D100:D105)</f>
        <v>-5.4999999999999982</v>
      </c>
    </row>
    <row r="108" spans="2:4" x14ac:dyDescent="0.25">
      <c r="B108" s="9" t="s">
        <v>87</v>
      </c>
    </row>
    <row r="110" spans="2:4" x14ac:dyDescent="0.25">
      <c r="B110" t="s">
        <v>35</v>
      </c>
    </row>
    <row r="112" spans="2:4" x14ac:dyDescent="0.25">
      <c r="B112" t="s">
        <v>88</v>
      </c>
    </row>
    <row r="113" spans="2:4" x14ac:dyDescent="0.25">
      <c r="B113" t="s">
        <v>89</v>
      </c>
    </row>
    <row r="114" spans="2:4" x14ac:dyDescent="0.25">
      <c r="B114" t="s">
        <v>90</v>
      </c>
    </row>
    <row r="116" spans="2:4" x14ac:dyDescent="0.25">
      <c r="B116" t="s">
        <v>42</v>
      </c>
    </row>
    <row r="118" spans="2:4" x14ac:dyDescent="0.25">
      <c r="B118" t="s">
        <v>91</v>
      </c>
    </row>
    <row r="119" spans="2:4" x14ac:dyDescent="0.25">
      <c r="B119" t="s">
        <v>93</v>
      </c>
    </row>
    <row r="120" spans="2:4" x14ac:dyDescent="0.25">
      <c r="B120" t="s">
        <v>94</v>
      </c>
    </row>
    <row r="122" spans="2:4" x14ac:dyDescent="0.25">
      <c r="B122" t="s">
        <v>57</v>
      </c>
    </row>
    <row r="123" spans="2:4" x14ac:dyDescent="0.25">
      <c r="B123" s="6" t="s">
        <v>58</v>
      </c>
      <c r="C123" s="6" t="s">
        <v>96</v>
      </c>
      <c r="D123" s="6" t="s">
        <v>97</v>
      </c>
    </row>
    <row r="124" spans="2:4" x14ac:dyDescent="0.25">
      <c r="B124" s="6" t="s">
        <v>98</v>
      </c>
      <c r="C124" s="4">
        <v>0.05</v>
      </c>
      <c r="D124" s="4">
        <v>0.126</v>
      </c>
    </row>
    <row r="125" spans="2:4" x14ac:dyDescent="0.25">
      <c r="B125" s="6" t="s">
        <v>99</v>
      </c>
      <c r="C125" s="4">
        <v>7.0000000000000007E-2</v>
      </c>
      <c r="D125" s="4">
        <v>0.13</v>
      </c>
    </row>
    <row r="126" spans="2:4" x14ac:dyDescent="0.25">
      <c r="B126" s="6" t="s">
        <v>86</v>
      </c>
      <c r="C126" s="4">
        <f>C125-C124</f>
        <v>2.0000000000000004E-2</v>
      </c>
      <c r="D126" s="4">
        <f>D125-D124</f>
        <v>4.0000000000000036E-3</v>
      </c>
    </row>
    <row r="127" spans="2:4" x14ac:dyDescent="0.25">
      <c r="B127" t="s">
        <v>100</v>
      </c>
      <c r="D127" t="s">
        <v>96</v>
      </c>
    </row>
    <row r="128" spans="2:4" x14ac:dyDescent="0.25">
      <c r="B128" t="s">
        <v>101</v>
      </c>
      <c r="D128" t="s">
        <v>97</v>
      </c>
    </row>
    <row r="130" spans="2:5" x14ac:dyDescent="0.25">
      <c r="B130" t="s">
        <v>98</v>
      </c>
      <c r="C130" t="s">
        <v>102</v>
      </c>
      <c r="D130" t="s">
        <v>106</v>
      </c>
    </row>
    <row r="131" spans="2:5" x14ac:dyDescent="0.25">
      <c r="B131" t="s">
        <v>103</v>
      </c>
      <c r="C131" t="s">
        <v>104</v>
      </c>
      <c r="D131" t="s">
        <v>105</v>
      </c>
    </row>
    <row r="132" spans="2:5" x14ac:dyDescent="0.25">
      <c r="B132" t="s">
        <v>107</v>
      </c>
      <c r="C132" s="1" t="s">
        <v>108</v>
      </c>
      <c r="E132" s="1" t="s">
        <v>110</v>
      </c>
    </row>
    <row r="133" spans="2:5" x14ac:dyDescent="0.25">
      <c r="C133" s="1" t="s">
        <v>111</v>
      </c>
    </row>
    <row r="134" spans="2:5" x14ac:dyDescent="0.25">
      <c r="B134" t="s">
        <v>109</v>
      </c>
    </row>
  </sheetData>
  <mergeCells count="5">
    <mergeCell ref="D31:F31"/>
    <mergeCell ref="B31:B32"/>
    <mergeCell ref="C31:C32"/>
    <mergeCell ref="C99:D99"/>
    <mergeCell ref="B98:B9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F3C07-5713-467C-8984-D78F9F9F8C11}">
  <dimension ref="B2:H94"/>
  <sheetViews>
    <sheetView topLeftCell="A65" workbookViewId="0">
      <selection activeCell="E90" sqref="E90"/>
    </sheetView>
  </sheetViews>
  <sheetFormatPr defaultRowHeight="15" x14ac:dyDescent="0.25"/>
  <cols>
    <col min="2" max="2" width="9.7109375" bestFit="1" customWidth="1"/>
    <col min="3" max="3" width="22" bestFit="1" customWidth="1"/>
    <col min="4" max="4" width="16.7109375" customWidth="1"/>
    <col min="5" max="5" width="23.140625" bestFit="1" customWidth="1"/>
    <col min="6" max="6" width="25.42578125" bestFit="1" customWidth="1"/>
  </cols>
  <sheetData>
    <row r="2" spans="2:3" x14ac:dyDescent="0.25">
      <c r="B2" s="9" t="s">
        <v>113</v>
      </c>
    </row>
    <row r="4" spans="2:3" x14ac:dyDescent="0.25">
      <c r="B4" t="s">
        <v>112</v>
      </c>
    </row>
    <row r="5" spans="2:3" x14ac:dyDescent="0.25">
      <c r="B5" s="1" t="s">
        <v>114</v>
      </c>
    </row>
    <row r="6" spans="2:3" x14ac:dyDescent="0.25">
      <c r="B6" s="1" t="s">
        <v>115</v>
      </c>
    </row>
    <row r="8" spans="2:3" x14ac:dyDescent="0.25">
      <c r="B8" s="1" t="s">
        <v>116</v>
      </c>
    </row>
    <row r="9" spans="2:3" x14ac:dyDescent="0.25">
      <c r="B9" s="1" t="s">
        <v>117</v>
      </c>
    </row>
    <row r="11" spans="2:3" x14ac:dyDescent="0.25">
      <c r="B11" t="s">
        <v>118</v>
      </c>
    </row>
    <row r="12" spans="2:3" x14ac:dyDescent="0.25">
      <c r="B12" t="s">
        <v>154</v>
      </c>
      <c r="C12" t="s">
        <v>155</v>
      </c>
    </row>
    <row r="13" spans="2:3" x14ac:dyDescent="0.25">
      <c r="B13" s="2">
        <f>POWER((1+(9%))/((1+8%)^0.5),2)-1</f>
        <v>0.10009259259259262</v>
      </c>
      <c r="C13" s="15">
        <f>POWER((1+B13),6/12)-1</f>
        <v>4.8852989027820204E-2</v>
      </c>
    </row>
    <row r="15" spans="2:3" x14ac:dyDescent="0.25">
      <c r="B15" t="s">
        <v>119</v>
      </c>
    </row>
    <row r="16" spans="2:3" x14ac:dyDescent="0.25">
      <c r="B16" s="1" t="s">
        <v>120</v>
      </c>
    </row>
    <row r="18" spans="2:2" x14ac:dyDescent="0.25">
      <c r="B18" t="s">
        <v>121</v>
      </c>
    </row>
    <row r="19" spans="2:2" x14ac:dyDescent="0.25">
      <c r="B19" s="1" t="s">
        <v>122</v>
      </c>
    </row>
    <row r="20" spans="2:2" x14ac:dyDescent="0.25">
      <c r="B20" t="s">
        <v>123</v>
      </c>
    </row>
    <row r="21" spans="2:2" x14ac:dyDescent="0.25">
      <c r="B21" t="s">
        <v>124</v>
      </c>
    </row>
    <row r="22" spans="2:2" x14ac:dyDescent="0.25">
      <c r="B22" t="s">
        <v>125</v>
      </c>
    </row>
    <row r="24" spans="2:2" x14ac:dyDescent="0.25">
      <c r="B24" s="1" t="s">
        <v>126</v>
      </c>
    </row>
    <row r="25" spans="2:2" x14ac:dyDescent="0.25">
      <c r="B25" t="s">
        <v>130</v>
      </c>
    </row>
    <row r="27" spans="2:2" x14ac:dyDescent="0.25">
      <c r="B27" t="s">
        <v>127</v>
      </c>
    </row>
    <row r="28" spans="2:2" x14ac:dyDescent="0.25">
      <c r="B28" s="1" t="s">
        <v>128</v>
      </c>
    </row>
    <row r="29" spans="2:2" x14ac:dyDescent="0.25">
      <c r="B29" t="s">
        <v>131</v>
      </c>
    </row>
    <row r="30" spans="2:2" x14ac:dyDescent="0.25">
      <c r="B30" s="1" t="s">
        <v>129</v>
      </c>
    </row>
    <row r="31" spans="2:2" x14ac:dyDescent="0.25">
      <c r="B31" t="s">
        <v>132</v>
      </c>
    </row>
    <row r="33" spans="2:7" x14ac:dyDescent="0.25">
      <c r="B33" s="9" t="s">
        <v>133</v>
      </c>
    </row>
    <row r="35" spans="2:7" x14ac:dyDescent="0.25">
      <c r="B35" s="1" t="s">
        <v>134</v>
      </c>
    </row>
    <row r="36" spans="2:7" x14ac:dyDescent="0.25">
      <c r="B36" s="1" t="s">
        <v>135</v>
      </c>
    </row>
    <row r="37" spans="2:7" x14ac:dyDescent="0.25">
      <c r="B37" s="1" t="s">
        <v>136</v>
      </c>
    </row>
    <row r="38" spans="2:7" x14ac:dyDescent="0.25">
      <c r="B38" s="1" t="s">
        <v>143</v>
      </c>
    </row>
    <row r="40" spans="2:7" x14ac:dyDescent="0.25">
      <c r="B40" s="6" t="s">
        <v>137</v>
      </c>
      <c r="C40" s="6" t="s">
        <v>138</v>
      </c>
      <c r="D40" s="6" t="s">
        <v>139</v>
      </c>
      <c r="E40" s="6" t="s">
        <v>142</v>
      </c>
      <c r="F40" s="6" t="s">
        <v>140</v>
      </c>
      <c r="G40" s="6" t="s">
        <v>141</v>
      </c>
    </row>
    <row r="41" spans="2:7" x14ac:dyDescent="0.25">
      <c r="B41" s="3">
        <f>3/12</f>
        <v>0.25</v>
      </c>
      <c r="C41" s="13">
        <v>4</v>
      </c>
      <c r="D41" s="3">
        <f>100+100*((10.2%)^(6/6))*(3/6)</f>
        <v>105.1</v>
      </c>
      <c r="E41" s="11">
        <f>1/(1+10%)^(B41)</f>
        <v>0.97645408967631053</v>
      </c>
      <c r="F41" s="12">
        <f>E41*C41</f>
        <v>3.9058163587052421</v>
      </c>
      <c r="G41" s="12">
        <f>D41*E41</f>
        <v>102.62532482498023</v>
      </c>
    </row>
    <row r="42" spans="2:7" x14ac:dyDescent="0.25">
      <c r="B42" s="3">
        <f>9/12</f>
        <v>0.75</v>
      </c>
      <c r="C42" s="13">
        <v>4</v>
      </c>
      <c r="D42" s="3"/>
      <c r="E42" s="11">
        <f>1/(1+10.5%)^(B42)</f>
        <v>0.92785110967632689</v>
      </c>
      <c r="F42" s="12">
        <f t="shared" ref="F42:F43" si="0">E42*C42</f>
        <v>3.7114044387053076</v>
      </c>
      <c r="G42" s="3"/>
    </row>
    <row r="43" spans="2:7" x14ac:dyDescent="0.25">
      <c r="B43" s="3">
        <f>15/12</f>
        <v>1.25</v>
      </c>
      <c r="C43" s="13">
        <v>104</v>
      </c>
      <c r="D43" s="3"/>
      <c r="E43" s="11">
        <f>1/(1+11%)^(B43)</f>
        <v>0.87770036005785779</v>
      </c>
      <c r="F43" s="12">
        <f t="shared" si="0"/>
        <v>91.280837446017216</v>
      </c>
      <c r="G43" s="3"/>
    </row>
    <row r="44" spans="2:7" x14ac:dyDescent="0.25">
      <c r="B44" s="3"/>
      <c r="C44" s="3"/>
      <c r="D44" s="3"/>
      <c r="E44" s="3"/>
      <c r="F44" s="12">
        <f>SUM(F41:F43)</f>
        <v>98.898058243427769</v>
      </c>
      <c r="G44" s="12">
        <f>SUM(G41:G43)</f>
        <v>102.62532482498023</v>
      </c>
    </row>
    <row r="45" spans="2:7" x14ac:dyDescent="0.25">
      <c r="B45" s="1" t="s">
        <v>144</v>
      </c>
      <c r="D45" s="10">
        <f>F44-G44</f>
        <v>-3.7272665815524562</v>
      </c>
    </row>
    <row r="46" spans="2:7" x14ac:dyDescent="0.25">
      <c r="B46" s="1" t="s">
        <v>145</v>
      </c>
      <c r="D46" s="10">
        <f>G44-F44</f>
        <v>3.7272665815524562</v>
      </c>
    </row>
    <row r="49" spans="2:7" x14ac:dyDescent="0.25">
      <c r="B49" s="1" t="s">
        <v>134</v>
      </c>
    </row>
    <row r="50" spans="2:7" x14ac:dyDescent="0.25">
      <c r="B50" s="1" t="s">
        <v>135</v>
      </c>
    </row>
    <row r="51" spans="2:7" x14ac:dyDescent="0.25">
      <c r="B51" s="1" t="s">
        <v>136</v>
      </c>
    </row>
    <row r="52" spans="2:7" x14ac:dyDescent="0.25">
      <c r="B52" s="1" t="s">
        <v>143</v>
      </c>
    </row>
    <row r="54" spans="2:7" x14ac:dyDescent="0.25">
      <c r="B54" s="6" t="s">
        <v>137</v>
      </c>
      <c r="C54" s="6" t="s">
        <v>146</v>
      </c>
      <c r="D54" s="6" t="s">
        <v>147</v>
      </c>
      <c r="E54" s="6" t="s">
        <v>148</v>
      </c>
      <c r="F54" s="6" t="s">
        <v>142</v>
      </c>
      <c r="G54" s="6" t="s">
        <v>149</v>
      </c>
    </row>
    <row r="55" spans="2:7" x14ac:dyDescent="0.25">
      <c r="B55" s="3">
        <f>3/12</f>
        <v>0.25</v>
      </c>
      <c r="C55" s="13">
        <v>4</v>
      </c>
      <c r="D55" s="12">
        <f>-100*10.2%*6/12</f>
        <v>-5.0999999999999996</v>
      </c>
      <c r="E55" s="12">
        <f>D55+C55</f>
        <v>-1.0999999999999996</v>
      </c>
      <c r="F55" s="11">
        <f>1/(1+10%)^(B55)</f>
        <v>0.97645408967631053</v>
      </c>
      <c r="G55" s="12">
        <f>E55*F55</f>
        <v>-1.0740994986439412</v>
      </c>
    </row>
    <row r="56" spans="2:7" x14ac:dyDescent="0.25">
      <c r="B56" s="3">
        <f>9/12</f>
        <v>0.75</v>
      </c>
      <c r="C56" s="13">
        <v>4</v>
      </c>
      <c r="D56" s="12">
        <f>-100*E61</f>
        <v>-5.2382305192196554</v>
      </c>
      <c r="E56" s="12">
        <f t="shared" ref="E56:E57" si="1">D56+C56</f>
        <v>-1.2382305192196554</v>
      </c>
      <c r="F56" s="11">
        <f>1/(1+10.5%)^(B56)</f>
        <v>0.92785110967632689</v>
      </c>
      <c r="G56" s="12">
        <f t="shared" ref="G56:G57" si="2">E56*F56</f>
        <v>-1.1488935612930518</v>
      </c>
    </row>
    <row r="57" spans="2:7" x14ac:dyDescent="0.25">
      <c r="B57" s="3">
        <f>15/12</f>
        <v>1.25</v>
      </c>
      <c r="C57" s="13">
        <v>4</v>
      </c>
      <c r="D57" s="12">
        <f>-100*E62</f>
        <v>-5.71388048822985</v>
      </c>
      <c r="E57" s="12">
        <f t="shared" si="1"/>
        <v>-1.71388048822985</v>
      </c>
      <c r="F57" s="11">
        <f>1/(1+11%)^(B57)</f>
        <v>0.87770036005785779</v>
      </c>
      <c r="G57" s="12">
        <f t="shared" si="2"/>
        <v>-1.5042735216154763</v>
      </c>
    </row>
    <row r="58" spans="2:7" x14ac:dyDescent="0.25">
      <c r="B58" s="3"/>
      <c r="C58" s="3"/>
      <c r="D58" s="3"/>
      <c r="E58" s="12"/>
      <c r="F58" s="3"/>
      <c r="G58" s="12">
        <f>SUM(G55:G57)</f>
        <v>-3.7272665815524695</v>
      </c>
    </row>
    <row r="60" spans="2:7" x14ac:dyDescent="0.25">
      <c r="B60" s="19" t="s">
        <v>150</v>
      </c>
      <c r="C60" s="19"/>
      <c r="D60" s="6" t="s">
        <v>156</v>
      </c>
      <c r="E60" s="20" t="s">
        <v>153</v>
      </c>
    </row>
    <row r="61" spans="2:7" x14ac:dyDescent="0.25">
      <c r="B61" s="18" t="s">
        <v>151</v>
      </c>
      <c r="C61" s="18"/>
      <c r="D61" s="4">
        <f>POWER((1+(10.5%))^(9/12)/((1+10%)^(3/12)),(12/6))-1</f>
        <v>0.1075085162816416</v>
      </c>
      <c r="E61" s="17">
        <f>POWER((1+D61),6/12)-1</f>
        <v>5.2382305192196554E-2</v>
      </c>
    </row>
    <row r="62" spans="2:7" x14ac:dyDescent="0.25">
      <c r="B62" s="18" t="s">
        <v>152</v>
      </c>
      <c r="C62" s="18"/>
      <c r="D62" s="4">
        <f>POWER((1+(11%))^(15/12)/((1+10.5%)^(9/12)),(12/6))-1</f>
        <v>0.11754245278797448</v>
      </c>
      <c r="E62" s="17">
        <f>POWER((1+D62),6/12)-1</f>
        <v>5.71388048822985E-2</v>
      </c>
    </row>
    <row r="65" spans="2:6" x14ac:dyDescent="0.25">
      <c r="B65" t="s">
        <v>157</v>
      </c>
    </row>
    <row r="66" spans="2:6" x14ac:dyDescent="0.25">
      <c r="B66" s="1" t="s">
        <v>158</v>
      </c>
    </row>
    <row r="67" spans="2:6" x14ac:dyDescent="0.25">
      <c r="B67" t="s">
        <v>159</v>
      </c>
    </row>
    <row r="69" spans="2:6" x14ac:dyDescent="0.25">
      <c r="B69" s="1" t="s">
        <v>160</v>
      </c>
    </row>
    <row r="70" spans="2:6" x14ac:dyDescent="0.25">
      <c r="B70" t="s">
        <v>168</v>
      </c>
    </row>
    <row r="72" spans="2:6" x14ac:dyDescent="0.25">
      <c r="B72" s="6" t="s">
        <v>161</v>
      </c>
      <c r="C72" s="6" t="s">
        <v>162</v>
      </c>
      <c r="D72" s="6" t="s">
        <v>163</v>
      </c>
      <c r="E72" s="6" t="s">
        <v>164</v>
      </c>
      <c r="F72" s="6" t="s">
        <v>165</v>
      </c>
    </row>
    <row r="73" spans="2:6" x14ac:dyDescent="0.25">
      <c r="B73" s="3">
        <v>1</v>
      </c>
      <c r="C73" s="13">
        <v>0.8</v>
      </c>
      <c r="D73" s="22">
        <f>C73/((1+9%)^B73)</f>
        <v>0.73394495412844041</v>
      </c>
      <c r="E73" s="3">
        <v>60</v>
      </c>
      <c r="F73" s="5">
        <f>E73/((1+4%)^B73)</f>
        <v>57.692307692307693</v>
      </c>
    </row>
    <row r="74" spans="2:6" x14ac:dyDescent="0.25">
      <c r="B74" s="3">
        <v>2</v>
      </c>
      <c r="C74" s="13">
        <v>0.8</v>
      </c>
      <c r="D74" s="22">
        <f t="shared" ref="D74:D76" si="3">C74/((1+9%)^B74)</f>
        <v>0.67334399461324801</v>
      </c>
      <c r="E74" s="3">
        <v>60</v>
      </c>
      <c r="F74" s="5">
        <f t="shared" ref="F74:F76" si="4">E74/((1+4%)^B74)</f>
        <v>55.473372781065081</v>
      </c>
    </row>
    <row r="75" spans="2:6" x14ac:dyDescent="0.25">
      <c r="B75" s="3">
        <v>3</v>
      </c>
      <c r="C75" s="13">
        <v>0.8</v>
      </c>
      <c r="D75" s="22">
        <f t="shared" si="3"/>
        <v>0.61774678404885131</v>
      </c>
      <c r="E75" s="3">
        <v>60</v>
      </c>
      <c r="F75" s="5">
        <f t="shared" si="4"/>
        <v>53.339781520254888</v>
      </c>
    </row>
    <row r="76" spans="2:6" x14ac:dyDescent="0.25">
      <c r="B76" s="3">
        <v>3</v>
      </c>
      <c r="C76" s="13">
        <v>10</v>
      </c>
      <c r="D76" s="22">
        <f t="shared" si="3"/>
        <v>7.7218348006106412</v>
      </c>
      <c r="E76" s="3">
        <v>1200</v>
      </c>
      <c r="F76" s="5">
        <f t="shared" si="4"/>
        <v>1066.7956304050979</v>
      </c>
    </row>
    <row r="77" spans="2:6" x14ac:dyDescent="0.25">
      <c r="B77" s="3"/>
      <c r="C77" s="3"/>
      <c r="D77" s="22">
        <f>SUM(D73:D76)</f>
        <v>9.7468705334011805</v>
      </c>
      <c r="E77" s="3"/>
      <c r="F77" s="5">
        <f>SUM(F73:F76)</f>
        <v>1233.3010923987256</v>
      </c>
    </row>
    <row r="79" spans="2:6" x14ac:dyDescent="0.25">
      <c r="B79" t="s">
        <v>166</v>
      </c>
      <c r="D79" s="21">
        <f>F77/110 - D77</f>
        <v>1.4649575793145075</v>
      </c>
    </row>
    <row r="80" spans="2:6" x14ac:dyDescent="0.25">
      <c r="B80" t="s">
        <v>167</v>
      </c>
    </row>
    <row r="81" spans="2:8" x14ac:dyDescent="0.25">
      <c r="B81" s="1" t="s">
        <v>169</v>
      </c>
    </row>
    <row r="82" spans="2:8" x14ac:dyDescent="0.25">
      <c r="B82" s="1"/>
    </row>
    <row r="84" spans="2:8" x14ac:dyDescent="0.25">
      <c r="B84" s="1" t="s">
        <v>158</v>
      </c>
    </row>
    <row r="85" spans="2:8" x14ac:dyDescent="0.25">
      <c r="B85" t="s">
        <v>170</v>
      </c>
    </row>
    <row r="87" spans="2:8" x14ac:dyDescent="0.25">
      <c r="B87" s="1" t="s">
        <v>171</v>
      </c>
    </row>
    <row r="89" spans="2:8" x14ac:dyDescent="0.25">
      <c r="B89" s="6" t="s">
        <v>161</v>
      </c>
      <c r="C89" s="6" t="s">
        <v>172</v>
      </c>
      <c r="D89" s="6" t="s">
        <v>173</v>
      </c>
      <c r="E89" s="6" t="s">
        <v>174</v>
      </c>
      <c r="F89" s="6" t="s">
        <v>175</v>
      </c>
      <c r="G89" s="6" t="s">
        <v>148</v>
      </c>
      <c r="H89" s="6" t="s">
        <v>176</v>
      </c>
    </row>
    <row r="90" spans="2:8" x14ac:dyDescent="0.25">
      <c r="B90" s="3">
        <v>1</v>
      </c>
      <c r="C90" s="3">
        <v>-0.8</v>
      </c>
      <c r="D90" s="3">
        <v>60</v>
      </c>
      <c r="E90" s="23">
        <f>(1/110)*(((1+9%)^B90)/((1+4%)^B90))</f>
        <v>9.5279720279720283E-3</v>
      </c>
      <c r="F90" s="22">
        <f>D90*E90</f>
        <v>0.57167832167832167</v>
      </c>
      <c r="G90" s="3">
        <f>F90+C90</f>
        <v>-0.22832167832167838</v>
      </c>
      <c r="H90" s="22">
        <f>G90/((1+9%)^B90)</f>
        <v>-0.20946942965291593</v>
      </c>
    </row>
    <row r="91" spans="2:8" x14ac:dyDescent="0.25">
      <c r="B91" s="3">
        <v>2</v>
      </c>
      <c r="C91" s="3">
        <v>-0.8</v>
      </c>
      <c r="D91" s="3">
        <v>60</v>
      </c>
      <c r="E91" s="23">
        <f t="shared" ref="E91:E93" si="5">(1/110)*(((1+9%)^B91)/((1+4%)^B91))</f>
        <v>9.9860476062399138E-3</v>
      </c>
      <c r="F91" s="22">
        <f t="shared" ref="F91:F93" si="6">D91*E91</f>
        <v>0.59916285637439481</v>
      </c>
      <c r="G91" s="3">
        <f t="shared" ref="G91:G93" si="7">F91+C91</f>
        <v>-0.20083714362560523</v>
      </c>
      <c r="H91" s="22">
        <f t="shared" ref="H91:H93" si="8">G91/((1+9%)^B91)</f>
        <v>-0.16904060569447454</v>
      </c>
    </row>
    <row r="92" spans="2:8" x14ac:dyDescent="0.25">
      <c r="B92" s="3">
        <v>3</v>
      </c>
      <c r="C92" s="3">
        <v>-0.8</v>
      </c>
      <c r="D92" s="3">
        <v>60</v>
      </c>
      <c r="E92" s="23">
        <f t="shared" si="5"/>
        <v>1.0466146048847602E-2</v>
      </c>
      <c r="F92" s="22">
        <f t="shared" si="6"/>
        <v>0.62796876293085613</v>
      </c>
      <c r="G92" s="3">
        <f t="shared" si="7"/>
        <v>-0.17203123706914392</v>
      </c>
      <c r="H92" s="22">
        <f t="shared" si="8"/>
        <v>-0.13283967931926149</v>
      </c>
    </row>
    <row r="93" spans="2:8" x14ac:dyDescent="0.25">
      <c r="B93" s="3">
        <v>3</v>
      </c>
      <c r="C93" s="3">
        <v>-10</v>
      </c>
      <c r="D93" s="3">
        <v>1200</v>
      </c>
      <c r="E93" s="23">
        <f t="shared" si="5"/>
        <v>1.0466146048847602E-2</v>
      </c>
      <c r="F93" s="22">
        <f t="shared" si="6"/>
        <v>12.559375258617123</v>
      </c>
      <c r="G93" s="3">
        <f t="shared" si="7"/>
        <v>2.5593752586171234</v>
      </c>
      <c r="H93" s="22">
        <f t="shared" si="8"/>
        <v>1.9763072939811563</v>
      </c>
    </row>
    <row r="94" spans="2:8" x14ac:dyDescent="0.25">
      <c r="B94" s="3"/>
      <c r="C94" s="3"/>
      <c r="D94" s="3"/>
      <c r="E94" s="3"/>
      <c r="F94" s="3"/>
      <c r="G94" s="3"/>
      <c r="H94" s="22">
        <f>SUM(H90:H93)</f>
        <v>1.4649575793145044</v>
      </c>
    </row>
  </sheetData>
  <mergeCells count="3">
    <mergeCell ref="B60:C60"/>
    <mergeCell ref="B61:C61"/>
    <mergeCell ref="B62:C6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0783-0660-40A5-8A82-FDD79F55F47C}">
  <dimension ref="B2:F140"/>
  <sheetViews>
    <sheetView tabSelected="1" workbookViewId="0">
      <selection activeCell="E12" sqref="E12"/>
    </sheetView>
  </sheetViews>
  <sheetFormatPr defaultRowHeight="15" x14ac:dyDescent="0.25"/>
  <cols>
    <col min="3" max="3" width="17.5703125" bestFit="1" customWidth="1"/>
    <col min="4" max="4" width="23.140625" bestFit="1" customWidth="1"/>
    <col min="5" max="5" width="14.140625" bestFit="1" customWidth="1"/>
  </cols>
  <sheetData>
    <row r="2" spans="2:6" x14ac:dyDescent="0.25">
      <c r="B2" s="9" t="s">
        <v>184</v>
      </c>
    </row>
    <row r="4" spans="2:6" x14ac:dyDescent="0.25">
      <c r="B4" s="9" t="s">
        <v>185</v>
      </c>
    </row>
    <row r="5" spans="2:6" x14ac:dyDescent="0.25">
      <c r="B5" t="s">
        <v>177</v>
      </c>
    </row>
    <row r="6" spans="2:6" x14ac:dyDescent="0.25">
      <c r="B6" s="1" t="s">
        <v>178</v>
      </c>
    </row>
    <row r="8" spans="2:6" x14ac:dyDescent="0.25">
      <c r="B8" t="s">
        <v>179</v>
      </c>
    </row>
    <row r="9" spans="2:6" x14ac:dyDescent="0.25">
      <c r="B9" s="1" t="s">
        <v>180</v>
      </c>
      <c r="F9" t="s">
        <v>181</v>
      </c>
    </row>
    <row r="11" spans="2:6" x14ac:dyDescent="0.25">
      <c r="B11" t="s">
        <v>182</v>
      </c>
    </row>
    <row r="12" spans="2:6" x14ac:dyDescent="0.25">
      <c r="B12" s="1" t="s">
        <v>183</v>
      </c>
    </row>
    <row r="14" spans="2:6" x14ac:dyDescent="0.25">
      <c r="B14" s="9" t="s">
        <v>186</v>
      </c>
    </row>
    <row r="15" spans="2:6" x14ac:dyDescent="0.25">
      <c r="B15" t="s">
        <v>187</v>
      </c>
    </row>
    <row r="16" spans="2:6" x14ac:dyDescent="0.25">
      <c r="B16" t="s">
        <v>191</v>
      </c>
    </row>
    <row r="18" spans="2:2" x14ac:dyDescent="0.25">
      <c r="B18" s="9" t="s">
        <v>188</v>
      </c>
    </row>
    <row r="19" spans="2:2" x14ac:dyDescent="0.25">
      <c r="B19" t="s">
        <v>189</v>
      </c>
    </row>
    <row r="20" spans="2:2" x14ac:dyDescent="0.25">
      <c r="B20" t="s">
        <v>190</v>
      </c>
    </row>
    <row r="22" spans="2:2" x14ac:dyDescent="0.25">
      <c r="B22" s="9" t="s">
        <v>192</v>
      </c>
    </row>
    <row r="24" spans="2:2" x14ac:dyDescent="0.25">
      <c r="B24" s="9" t="s">
        <v>193</v>
      </c>
    </row>
    <row r="26" spans="2:2" x14ac:dyDescent="0.25">
      <c r="B26" s="9" t="s">
        <v>197</v>
      </c>
    </row>
    <row r="27" spans="2:2" x14ac:dyDescent="0.25">
      <c r="B27" s="1" t="s">
        <v>194</v>
      </c>
    </row>
    <row r="29" spans="2:2" x14ac:dyDescent="0.25">
      <c r="B29" s="9" t="s">
        <v>195</v>
      </c>
    </row>
    <row r="31" spans="2:2" x14ac:dyDescent="0.25">
      <c r="B31" s="9" t="s">
        <v>196</v>
      </c>
    </row>
    <row r="33" spans="2:2" x14ac:dyDescent="0.25">
      <c r="B33" s="9" t="s">
        <v>202</v>
      </c>
    </row>
    <row r="35" spans="2:2" x14ac:dyDescent="0.25">
      <c r="B35" s="9" t="s">
        <v>193</v>
      </c>
    </row>
    <row r="37" spans="2:2" x14ac:dyDescent="0.25">
      <c r="B37" s="9" t="s">
        <v>198</v>
      </c>
    </row>
    <row r="39" spans="2:2" x14ac:dyDescent="0.25">
      <c r="B39" s="9" t="s">
        <v>199</v>
      </c>
    </row>
    <row r="41" spans="2:2" x14ac:dyDescent="0.25">
      <c r="B41" s="9" t="s">
        <v>200</v>
      </c>
    </row>
    <row r="43" spans="2:2" x14ac:dyDescent="0.25">
      <c r="B43" s="9" t="s">
        <v>201</v>
      </c>
    </row>
    <row r="46" spans="2:2" x14ac:dyDescent="0.25">
      <c r="B46" t="s">
        <v>203</v>
      </c>
    </row>
    <row r="48" spans="2:2" x14ac:dyDescent="0.25">
      <c r="B48" t="s">
        <v>204</v>
      </c>
    </row>
    <row r="50" spans="2:5" x14ac:dyDescent="0.25">
      <c r="B50" s="6" t="s">
        <v>58</v>
      </c>
      <c r="C50" s="6" t="s">
        <v>59</v>
      </c>
      <c r="D50" s="6" t="s">
        <v>60</v>
      </c>
    </row>
    <row r="51" spans="2:5" x14ac:dyDescent="0.25">
      <c r="B51" s="3" t="s">
        <v>205</v>
      </c>
      <c r="C51" s="25">
        <v>0.1</v>
      </c>
      <c r="D51" s="3" t="s">
        <v>207</v>
      </c>
    </row>
    <row r="52" spans="2:5" x14ac:dyDescent="0.25">
      <c r="B52" s="3" t="s">
        <v>206</v>
      </c>
      <c r="C52" s="25">
        <v>0.11</v>
      </c>
      <c r="D52" s="3" t="s">
        <v>208</v>
      </c>
    </row>
    <row r="53" spans="2:5" x14ac:dyDescent="0.25">
      <c r="B53" s="26" t="s">
        <v>211</v>
      </c>
      <c r="C53" s="24">
        <f>C52-C51</f>
        <v>9.999999999999995E-3</v>
      </c>
      <c r="D53" s="2">
        <v>4.0000000000000001E-3</v>
      </c>
    </row>
    <row r="54" spans="2:5" x14ac:dyDescent="0.25">
      <c r="B54" t="s">
        <v>209</v>
      </c>
      <c r="C54" t="s">
        <v>205</v>
      </c>
      <c r="D54" t="s">
        <v>210</v>
      </c>
    </row>
    <row r="55" spans="2:5" x14ac:dyDescent="0.25">
      <c r="C55" t="s">
        <v>206</v>
      </c>
      <c r="D55" t="s">
        <v>212</v>
      </c>
    </row>
    <row r="57" spans="2:5" x14ac:dyDescent="0.25">
      <c r="B57" t="s">
        <v>213</v>
      </c>
      <c r="D57" s="16">
        <f>C53-D53</f>
        <v>5.9999999999999949E-3</v>
      </c>
    </row>
    <row r="58" spans="2:5" x14ac:dyDescent="0.25">
      <c r="B58" t="s">
        <v>215</v>
      </c>
      <c r="D58" s="2">
        <f>D57/2</f>
        <v>2.9999999999999975E-3</v>
      </c>
    </row>
    <row r="59" spans="2:5" x14ac:dyDescent="0.25">
      <c r="D59" s="2"/>
    </row>
    <row r="60" spans="2:5" x14ac:dyDescent="0.25">
      <c r="B60" t="s">
        <v>221</v>
      </c>
      <c r="C60" t="s">
        <v>216</v>
      </c>
      <c r="D60" s="2"/>
    </row>
    <row r="61" spans="2:5" x14ac:dyDescent="0.25">
      <c r="C61" t="s">
        <v>217</v>
      </c>
      <c r="D61" s="2"/>
    </row>
    <row r="62" spans="2:5" x14ac:dyDescent="0.25">
      <c r="B62" t="s">
        <v>219</v>
      </c>
      <c r="C62" t="s">
        <v>205</v>
      </c>
      <c r="D62" s="2" t="s">
        <v>220</v>
      </c>
      <c r="E62" s="2">
        <v>3.0000000000000001E-3</v>
      </c>
    </row>
    <row r="63" spans="2:5" x14ac:dyDescent="0.25">
      <c r="C63" t="s">
        <v>206</v>
      </c>
      <c r="D63" s="2">
        <v>0.107</v>
      </c>
      <c r="E63" s="2">
        <v>3.0000000000000001E-3</v>
      </c>
    </row>
    <row r="64" spans="2:5" x14ac:dyDescent="0.25">
      <c r="D64" s="2"/>
    </row>
    <row r="65" spans="2:4" x14ac:dyDescent="0.25">
      <c r="D65" s="2"/>
    </row>
    <row r="67" spans="2:4" x14ac:dyDescent="0.25">
      <c r="B67" t="s">
        <v>203</v>
      </c>
    </row>
    <row r="68" spans="2:4" x14ac:dyDescent="0.25">
      <c r="B68" t="s">
        <v>214</v>
      </c>
    </row>
    <row r="70" spans="2:4" x14ac:dyDescent="0.25">
      <c r="B70" t="s">
        <v>58</v>
      </c>
      <c r="C70" t="s">
        <v>223</v>
      </c>
      <c r="D70" t="s">
        <v>224</v>
      </c>
    </row>
    <row r="71" spans="2:4" x14ac:dyDescent="0.25">
      <c r="B71" t="s">
        <v>205</v>
      </c>
      <c r="C71" s="24">
        <v>0.09</v>
      </c>
      <c r="D71" t="s">
        <v>225</v>
      </c>
    </row>
    <row r="72" spans="2:4" x14ac:dyDescent="0.25">
      <c r="B72" t="s">
        <v>206</v>
      </c>
      <c r="C72" s="2">
        <v>0.10100000000000001</v>
      </c>
      <c r="D72" t="s">
        <v>225</v>
      </c>
    </row>
    <row r="73" spans="2:4" x14ac:dyDescent="0.25">
      <c r="B73" t="s">
        <v>211</v>
      </c>
      <c r="C73" s="2">
        <f>C72-C71</f>
        <v>1.100000000000001E-2</v>
      </c>
      <c r="D73">
        <v>0</v>
      </c>
    </row>
    <row r="74" spans="2:4" x14ac:dyDescent="0.25">
      <c r="B74" t="s">
        <v>209</v>
      </c>
      <c r="C74" t="s">
        <v>205</v>
      </c>
      <c r="D74" t="s">
        <v>59</v>
      </c>
    </row>
    <row r="75" spans="2:4" x14ac:dyDescent="0.25">
      <c r="C75" t="s">
        <v>206</v>
      </c>
      <c r="D75" t="s">
        <v>60</v>
      </c>
    </row>
    <row r="78" spans="2:4" x14ac:dyDescent="0.25">
      <c r="B78" t="s">
        <v>221</v>
      </c>
      <c r="C78" t="s">
        <v>226</v>
      </c>
    </row>
    <row r="79" spans="2:4" x14ac:dyDescent="0.25">
      <c r="C79" t="s">
        <v>229</v>
      </c>
    </row>
    <row r="80" spans="2:4" x14ac:dyDescent="0.25">
      <c r="C80" t="s">
        <v>230</v>
      </c>
    </row>
    <row r="82" spans="2:5" x14ac:dyDescent="0.25">
      <c r="B82" t="s">
        <v>227</v>
      </c>
      <c r="C82" t="s">
        <v>205</v>
      </c>
      <c r="D82" t="s">
        <v>228</v>
      </c>
      <c r="E82" s="2">
        <v>4.4999999999999997E-3</v>
      </c>
    </row>
    <row r="83" spans="2:5" x14ac:dyDescent="0.25">
      <c r="C83" t="s">
        <v>206</v>
      </c>
      <c r="D83" s="2">
        <v>9.5500000000000002E-2</v>
      </c>
      <c r="E83" s="2">
        <f>C72-D83</f>
        <v>5.5000000000000049E-3</v>
      </c>
    </row>
    <row r="84" spans="2:5" x14ac:dyDescent="0.25">
      <c r="C84" t="s">
        <v>231</v>
      </c>
      <c r="D84" s="2">
        <f>9.55%-9.45%</f>
        <v>1.0000000000000148E-3</v>
      </c>
      <c r="E84" s="2">
        <f>D84</f>
        <v>1.0000000000000148E-3</v>
      </c>
    </row>
    <row r="87" spans="2:5" x14ac:dyDescent="0.25">
      <c r="B87" t="s">
        <v>203</v>
      </c>
    </row>
    <row r="89" spans="2:5" x14ac:dyDescent="0.25">
      <c r="B89" t="s">
        <v>221</v>
      </c>
      <c r="C89" t="s">
        <v>232</v>
      </c>
    </row>
    <row r="91" spans="2:5" x14ac:dyDescent="0.25">
      <c r="B91" t="s">
        <v>227</v>
      </c>
      <c r="C91" t="s">
        <v>205</v>
      </c>
      <c r="D91" s="27">
        <v>0.03</v>
      </c>
    </row>
    <row r="92" spans="2:5" x14ac:dyDescent="0.25">
      <c r="B92" s="28" t="s">
        <v>233</v>
      </c>
      <c r="D92" s="2">
        <f>4%-D91</f>
        <v>1.0000000000000002E-2</v>
      </c>
    </row>
    <row r="94" spans="2:5" x14ac:dyDescent="0.25">
      <c r="B94" t="s">
        <v>203</v>
      </c>
    </row>
    <row r="96" spans="2:5" x14ac:dyDescent="0.25">
      <c r="B96" t="s">
        <v>221</v>
      </c>
      <c r="C96" t="s">
        <v>234</v>
      </c>
    </row>
    <row r="97" spans="2:5" x14ac:dyDescent="0.25">
      <c r="C97" t="s">
        <v>235</v>
      </c>
    </row>
    <row r="98" spans="2:5" x14ac:dyDescent="0.25">
      <c r="C98" t="s">
        <v>236</v>
      </c>
    </row>
    <row r="100" spans="2:5" x14ac:dyDescent="0.25">
      <c r="B100" t="s">
        <v>227</v>
      </c>
      <c r="C100" t="s">
        <v>205</v>
      </c>
      <c r="D100" s="2">
        <f>3.39% + 0.5%</f>
        <v>3.8899999999999997E-2</v>
      </c>
    </row>
    <row r="101" spans="2:5" x14ac:dyDescent="0.25">
      <c r="C101" t="s">
        <v>206</v>
      </c>
      <c r="D101" t="s">
        <v>238</v>
      </c>
    </row>
    <row r="102" spans="2:5" x14ac:dyDescent="0.25">
      <c r="C102" t="s">
        <v>237</v>
      </c>
      <c r="D102" s="2">
        <f>3.39%-3.36%</f>
        <v>3.0000000000000165E-4</v>
      </c>
    </row>
    <row r="105" spans="2:5" x14ac:dyDescent="0.25">
      <c r="B105" t="s">
        <v>203</v>
      </c>
    </row>
    <row r="107" spans="2:5" x14ac:dyDescent="0.25">
      <c r="B107" t="s">
        <v>58</v>
      </c>
      <c r="C107" t="s">
        <v>59</v>
      </c>
      <c r="D107" t="s">
        <v>60</v>
      </c>
    </row>
    <row r="108" spans="2:5" x14ac:dyDescent="0.25">
      <c r="B108" t="s">
        <v>205</v>
      </c>
      <c r="C108" s="30">
        <v>5.5E-2</v>
      </c>
      <c r="D108" s="29" t="s">
        <v>239</v>
      </c>
    </row>
    <row r="109" spans="2:5" x14ac:dyDescent="0.25">
      <c r="B109" t="s">
        <v>218</v>
      </c>
      <c r="C109" s="30">
        <v>4.4999999999999998E-2</v>
      </c>
      <c r="D109" s="29" t="s">
        <v>222</v>
      </c>
    </row>
    <row r="110" spans="2:5" x14ac:dyDescent="0.25">
      <c r="B110" t="s">
        <v>211</v>
      </c>
      <c r="C110" s="2">
        <f>C108-C109</f>
        <v>1.0000000000000002E-2</v>
      </c>
      <c r="D110" s="2">
        <v>5.0000000000000001E-3</v>
      </c>
      <c r="E110" s="2">
        <f>C110-D110</f>
        <v>5.0000000000000018E-3</v>
      </c>
    </row>
    <row r="111" spans="2:5" x14ac:dyDescent="0.25">
      <c r="B111" s="31" t="s">
        <v>209</v>
      </c>
      <c r="C111" t="s">
        <v>205</v>
      </c>
      <c r="D111" t="s">
        <v>60</v>
      </c>
    </row>
    <row r="112" spans="2:5" x14ac:dyDescent="0.25">
      <c r="C112" t="s">
        <v>218</v>
      </c>
      <c r="D112" t="s">
        <v>59</v>
      </c>
    </row>
    <row r="113" spans="2:5" x14ac:dyDescent="0.25">
      <c r="B113" s="29" t="s">
        <v>240</v>
      </c>
      <c r="C113" t="s">
        <v>205</v>
      </c>
      <c r="D113" t="s">
        <v>59</v>
      </c>
    </row>
    <row r="114" spans="2:5" x14ac:dyDescent="0.25">
      <c r="C114" t="s">
        <v>218</v>
      </c>
      <c r="D114" t="s">
        <v>60</v>
      </c>
    </row>
    <row r="115" spans="2:5" x14ac:dyDescent="0.25">
      <c r="B115" t="s">
        <v>241</v>
      </c>
    </row>
    <row r="117" spans="2:5" x14ac:dyDescent="0.25">
      <c r="B117" t="s">
        <v>221</v>
      </c>
      <c r="C117" t="s">
        <v>242</v>
      </c>
    </row>
    <row r="118" spans="2:5" x14ac:dyDescent="0.25">
      <c r="C118" t="s">
        <v>243</v>
      </c>
    </row>
    <row r="119" spans="2:5" x14ac:dyDescent="0.25">
      <c r="C119" t="s">
        <v>244</v>
      </c>
    </row>
    <row r="121" spans="2:5" x14ac:dyDescent="0.25">
      <c r="B121" t="s">
        <v>227</v>
      </c>
      <c r="C121" t="s">
        <v>205</v>
      </c>
      <c r="D121" s="2">
        <f>4.75%+0.5%</f>
        <v>5.2499999999999998E-2</v>
      </c>
      <c r="E121" s="2">
        <f>C108-D121</f>
        <v>2.5000000000000022E-3</v>
      </c>
    </row>
    <row r="122" spans="2:5" x14ac:dyDescent="0.25">
      <c r="C122" t="s">
        <v>218</v>
      </c>
      <c r="D122" s="2" t="s">
        <v>245</v>
      </c>
      <c r="E122" s="2">
        <v>2E-3</v>
      </c>
    </row>
    <row r="123" spans="2:5" x14ac:dyDescent="0.25">
      <c r="C123" t="s">
        <v>237</v>
      </c>
      <c r="D123" s="2">
        <v>5.0000000000000001E-4</v>
      </c>
      <c r="E123" s="2">
        <f>D123</f>
        <v>5.0000000000000001E-4</v>
      </c>
    </row>
    <row r="126" spans="2:5" x14ac:dyDescent="0.25">
      <c r="B126" t="s">
        <v>203</v>
      </c>
    </row>
    <row r="128" spans="2:5" x14ac:dyDescent="0.25">
      <c r="B128" t="s">
        <v>246</v>
      </c>
    </row>
    <row r="130" spans="2:5" x14ac:dyDescent="0.25">
      <c r="B130" t="s">
        <v>221</v>
      </c>
      <c r="C130" t="s">
        <v>247</v>
      </c>
    </row>
    <row r="132" spans="2:5" x14ac:dyDescent="0.25">
      <c r="E132" t="s">
        <v>248</v>
      </c>
    </row>
    <row r="133" spans="2:5" x14ac:dyDescent="0.25">
      <c r="B133" t="s">
        <v>227</v>
      </c>
      <c r="C133" t="s">
        <v>205</v>
      </c>
      <c r="D133" s="24">
        <v>0.03</v>
      </c>
      <c r="E133">
        <v>0</v>
      </c>
    </row>
    <row r="136" spans="2:5" x14ac:dyDescent="0.25">
      <c r="B136" t="s">
        <v>203</v>
      </c>
    </row>
    <row r="138" spans="2:5" x14ac:dyDescent="0.25">
      <c r="B138" t="s">
        <v>221</v>
      </c>
      <c r="C138" t="s">
        <v>249</v>
      </c>
    </row>
    <row r="140" spans="2:5" x14ac:dyDescent="0.25">
      <c r="B140" t="s">
        <v>227</v>
      </c>
      <c r="C140" t="s">
        <v>206</v>
      </c>
      <c r="D140" s="2" t="s">
        <v>250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5주차 1교시</vt:lpstr>
      <vt:lpstr>5주차 2교시</vt:lpstr>
      <vt:lpstr>5주차 3교시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재환 김</dc:creator>
  <cp:lastModifiedBy>재환 김</cp:lastModifiedBy>
  <dcterms:created xsi:type="dcterms:W3CDTF">2024-04-07T03:35:13Z</dcterms:created>
  <dcterms:modified xsi:type="dcterms:W3CDTF">2024-04-07T12:15:31Z</dcterms:modified>
</cp:coreProperties>
</file>